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5480" windowHeight="11640" activeTab="4"/>
  </bookViews>
  <sheets>
    <sheet name="Copyright" sheetId="1" r:id="rId1"/>
    <sheet name="Instructions" sheetId="2" r:id="rId2"/>
    <sheet name="Static Model Assumptions ---&gt;" sheetId="3" r:id="rId3"/>
    <sheet name="Case Manager" sheetId="4" r:id="rId4"/>
    <sheet name="Sources &amp; Uses" sheetId="5" r:id="rId5"/>
    <sheet name="Current Balance Sheet" sheetId="6" r:id="rId6"/>
    <sheet name="Operating Model---&gt;" sheetId="7" r:id="rId7"/>
    <sheet name="Toys R Us Domestic" sheetId="8" r:id="rId8"/>
    <sheet name="Toys R Us International" sheetId="9" r:id="rId9"/>
    <sheet name="Babies R Us" sheetId="10" r:id="rId10"/>
    <sheet name="Toys R Us.com" sheetId="11" r:id="rId11"/>
    <sheet name="Kids R Us" sheetId="12" r:id="rId12"/>
    <sheet name="Toys Corporate" sheetId="13" r:id="rId13"/>
    <sheet name="Model Outputs----&gt;" sheetId="14" r:id="rId14"/>
    <sheet name="Consolidated Financial Results" sheetId="15" r:id="rId15"/>
    <sheet name="Summary of Consolidated Fins" sheetId="16" r:id="rId16"/>
    <sheet name="LBO Model" sheetId="17" r:id="rId17"/>
    <sheet name="Exhibits for Presentation----&gt; " sheetId="18" r:id="rId18"/>
    <sheet name="Transaction Overview" sheetId="19" r:id="rId19"/>
    <sheet name="Summary of Segment Fins" sheetId="20" r:id="rId20"/>
    <sheet name="Consolidated Summary" sheetId="21" r:id="rId21"/>
    <sheet name="Returns Summary" sheetId="22" r:id="rId22"/>
  </sheets>
  <definedNames>
    <definedName name="_xlnm.Print_Area" localSheetId="9">'Babies R Us'!$B$44:$N$64</definedName>
    <definedName name="_xlnm.Print_Area" localSheetId="3">'Case Manager'!$B$2:$L$74</definedName>
    <definedName name="_xlnm.Print_Area" localSheetId="14">'Consolidated Financial Results'!$B$2:$N$41,'Consolidated Financial Results'!$B$43:$N$70</definedName>
    <definedName name="_xlnm.Print_Area" localSheetId="20">'Consolidated Summary'!$B$3:$M$36</definedName>
    <definedName name="_xlnm.Print_Area" localSheetId="5">'Current Balance Sheet'!$B$2:$H$54</definedName>
    <definedName name="_xlnm.Print_Area" localSheetId="1">'Instructions'!$B$2:$M$29</definedName>
    <definedName name="_xlnm.Print_Area" localSheetId="11">'Kids R Us'!$B$44:$N$64</definedName>
    <definedName name="_xlnm.Print_Area" localSheetId="16">'LBO Model'!$B$2:$R$52,'LBO Model'!$B$54:$R$103,'LBO Model'!$B$105:$R$159,'LBO Model'!$B$161:$R$206,'LBO Model'!$B$209:$R$255,'LBO Model'!$B$257:$R$304,'LBO Model'!$B$306:$R$344</definedName>
    <definedName name="_xlnm.Print_Area" localSheetId="21">'Returns Summary'!$B$3:$K$39</definedName>
    <definedName name="_xlnm.Print_Area" localSheetId="4">'Sources &amp; Uses'!$B$2:$M$24</definedName>
    <definedName name="_xlnm.Print_Area" localSheetId="15">'Summary of Consolidated Fins'!$B$2:$N$35</definedName>
    <definedName name="_xlnm.Print_Area" localSheetId="19">'Summary of Segment Fins'!$B$3:$T$35</definedName>
    <definedName name="_xlnm.Print_Area" localSheetId="12">'Toys Corporate'!$B$50:$N$77</definedName>
    <definedName name="_xlnm.Print_Area" localSheetId="7">'Toys R Us Domestic'!$B$90:$N$125</definedName>
    <definedName name="_xlnm.Print_Area" localSheetId="8">'Toys R Us International'!$B$44:$N$64</definedName>
    <definedName name="_xlnm.Print_Area" localSheetId="10">'Toys R Us.com'!$B$44:$N$64</definedName>
    <definedName name="_xlnm.Print_Area" localSheetId="18">'Transaction Overview'!$B$3:$J$29</definedName>
  </definedNames>
  <calcPr fullCalcOnLoad="1" iterate="1" iterateCount="100" iterateDelta="0.001"/>
</workbook>
</file>

<file path=xl/sharedStrings.xml><?xml version="1.0" encoding="utf-8"?>
<sst xmlns="http://schemas.openxmlformats.org/spreadsheetml/2006/main" count="586" uniqueCount="363">
  <si>
    <t>($ in millions)</t>
  </si>
  <si>
    <t>Net Sales by Segment</t>
  </si>
  <si>
    <t>Consolidated Net Sales</t>
  </si>
  <si>
    <t>Projected</t>
  </si>
  <si>
    <t>Actual</t>
  </si>
  <si>
    <t xml:space="preserve">   Growth</t>
  </si>
  <si>
    <t>EBITDA by Segment</t>
  </si>
  <si>
    <t>For the FYE January 31</t>
  </si>
  <si>
    <t xml:space="preserve">   Margin</t>
  </si>
  <si>
    <t>Consolidated EBITDA</t>
  </si>
  <si>
    <t>COGS &amp; SG&amp;A by Segment</t>
  </si>
  <si>
    <t>EBITDA</t>
  </si>
  <si>
    <t>D&amp;A by Segment</t>
  </si>
  <si>
    <t>Consolidated EBIT</t>
  </si>
  <si>
    <t>Restructuring Charges</t>
  </si>
  <si>
    <t>Consolidated Financial Results by Segment</t>
  </si>
  <si>
    <t>Consolidated Financial Results by Segment (Cont'd)</t>
  </si>
  <si>
    <t>EBIT</t>
  </si>
  <si>
    <t>Summary Financial Results</t>
  </si>
  <si>
    <t>CAGR</t>
  </si>
  <si>
    <t>'05-'10</t>
  </si>
  <si>
    <t>Units in Model</t>
  </si>
  <si>
    <t>Fiscal Year Ending</t>
  </si>
  <si>
    <t>Case Manager</t>
  </si>
  <si>
    <t>Base Case</t>
  </si>
  <si>
    <t>Upside Case</t>
  </si>
  <si>
    <t>Downside Case</t>
  </si>
  <si>
    <t>Open Case #1</t>
  </si>
  <si>
    <t>Open Case #2</t>
  </si>
  <si>
    <t>Active Case</t>
  </si>
  <si>
    <t>&lt;---Case Trigger</t>
  </si>
  <si>
    <t>Net Sales</t>
  </si>
  <si>
    <t>Net Sales Growth</t>
  </si>
  <si>
    <t>EBITDA Margin</t>
  </si>
  <si>
    <t>D&amp;A Margin</t>
  </si>
  <si>
    <t>D&amp;A</t>
  </si>
  <si>
    <t>COGS &amp; SG&amp;A</t>
  </si>
  <si>
    <t>Toys R Us International</t>
  </si>
  <si>
    <t>Babies R Us</t>
  </si>
  <si>
    <t>Toys R Us.com</t>
  </si>
  <si>
    <t>Toys R Us Domestic</t>
  </si>
  <si>
    <t>Note:  EBITDA for FY 2005 adjusted by adding back $132 million in inventory markdowns and excluding a $14 million related to a lawsuit settlement - $118M net add back in FY 2005.</t>
  </si>
  <si>
    <t>Kids R Us</t>
  </si>
  <si>
    <t>Note:  Assumes no contribution from Kids R Us after FYE 2005.</t>
  </si>
  <si>
    <t>Corporate / Other Expenses</t>
  </si>
  <si>
    <t>Capex as a % of Sales</t>
  </si>
  <si>
    <t>Net Capex</t>
  </si>
  <si>
    <t>Toys Corporate / Other</t>
  </si>
  <si>
    <t>Other D&amp;A</t>
  </si>
  <si>
    <t>Tax Rate</t>
  </si>
  <si>
    <t>Consolidated Balance Sheet</t>
  </si>
  <si>
    <t>ASSETS</t>
  </si>
  <si>
    <t>Cash and Cash Equivalents</t>
  </si>
  <si>
    <t>Short-Term Investments</t>
  </si>
  <si>
    <t>Accounts and Other Receivables</t>
  </si>
  <si>
    <t>Merchandise Inventories</t>
  </si>
  <si>
    <t>Net Property Assets Held for Sale</t>
  </si>
  <si>
    <t>Current Portion of Derivative Assets</t>
  </si>
  <si>
    <t>Prepaid Expenses and Other Current Assets</t>
  </si>
  <si>
    <t>Total Current Assets</t>
  </si>
  <si>
    <t>Property, Plant &amp; Equipment</t>
  </si>
  <si>
    <t>Real Estate, net</t>
  </si>
  <si>
    <t>Other, net</t>
  </si>
  <si>
    <t>Total PP&amp;E</t>
  </si>
  <si>
    <t>Goodwill, net</t>
  </si>
  <si>
    <t>Derivative Assets</t>
  </si>
  <si>
    <t>Deferred Tax Asset</t>
  </si>
  <si>
    <t>Other Assets</t>
  </si>
  <si>
    <t>Total Assets</t>
  </si>
  <si>
    <t>LIABILITIES &amp; STOCKHOLDERS' EQUITY</t>
  </si>
  <si>
    <t>Short-Term Borrowings</t>
  </si>
  <si>
    <t>Accounts Payable</t>
  </si>
  <si>
    <t>Accrued Expenses &amp; Other Current Liabilities</t>
  </si>
  <si>
    <t>Income Taxes Payable</t>
  </si>
  <si>
    <t>Current Portion of Long-Term Debt</t>
  </si>
  <si>
    <t>Total Current Liabilities</t>
  </si>
  <si>
    <t>Long-Term Debt</t>
  </si>
  <si>
    <t>Deferred Income Taxes</t>
  </si>
  <si>
    <t>Derivative Liabilities</t>
  </si>
  <si>
    <t>Deferred Rent Liability</t>
  </si>
  <si>
    <t>Other Liabilities</t>
  </si>
  <si>
    <t>Minority Interest in Toysrus.com</t>
  </si>
  <si>
    <t>Total Liabilities</t>
  </si>
  <si>
    <t>Stockholders' Equity</t>
  </si>
  <si>
    <t>Common Stock</t>
  </si>
  <si>
    <t>Additional Paid-in Capital</t>
  </si>
  <si>
    <t>Retained Earnings</t>
  </si>
  <si>
    <t>Accumulated Other Comprehensive Loss</t>
  </si>
  <si>
    <t>Restricted Stock</t>
  </si>
  <si>
    <t>Treasury Shares, at cost</t>
  </si>
  <si>
    <t>Total Stockholders' Equity</t>
  </si>
  <si>
    <t>Total Liabilities &amp; Stockholders' Equity</t>
  </si>
  <si>
    <t>Net Closings</t>
  </si>
  <si>
    <t>End of Year Stores</t>
  </si>
  <si>
    <t>Sales Growth per Store</t>
  </si>
  <si>
    <t>Beginning Store Count</t>
  </si>
  <si>
    <t>Net Sales per Store (average throughout year)</t>
  </si>
  <si>
    <t>Beginning Stores</t>
  </si>
  <si>
    <t>Ending Stores</t>
  </si>
  <si>
    <t>Average Stores</t>
  </si>
  <si>
    <t>Sales per Store</t>
  </si>
  <si>
    <t>Sales Check</t>
  </si>
  <si>
    <t>Owned Store Sale Analysis</t>
  </si>
  <si>
    <t>Beginning Balance of Owned Stores</t>
  </si>
  <si>
    <t xml:space="preserve">Net Closings </t>
  </si>
  <si>
    <t>Ending balance</t>
  </si>
  <si>
    <t>Ending Balance of Owned Stores</t>
  </si>
  <si>
    <t>Top 50 Owned Store Sales</t>
  </si>
  <si>
    <t>Stores 51 - 100</t>
  </si>
  <si>
    <t>Stores 101-150</t>
  </si>
  <si>
    <t>Total</t>
  </si>
  <si>
    <t>Proceeds from Store Sales (Pre-Tax)</t>
  </si>
  <si>
    <t>Proceeds from Store Sales (After-Tax)</t>
  </si>
  <si>
    <t>Store Balance</t>
  </si>
  <si>
    <t>Stores Sold</t>
  </si>
  <si>
    <t>Store Proceeds</t>
  </si>
  <si>
    <t>Total Proceeds</t>
  </si>
  <si>
    <t>Store Rollforward (Net Closings in Table) - Divestitures should not exceed 150 stores</t>
  </si>
  <si>
    <t>Top 50 Owned Store Real Estate Sales</t>
  </si>
  <si>
    <t>Real Estate Sales of Stores 51 - 100</t>
  </si>
  <si>
    <t>Real Estate Sales of Stores 101-150</t>
  </si>
  <si>
    <t>Note:  Multiple of revenue on real estate sales based on targeted returns of selling stores in each bucket.</t>
  </si>
  <si>
    <t>Actual For the Fiscal Year Ended</t>
  </si>
  <si>
    <t>Multiple</t>
  </si>
  <si>
    <t>EBITDA Check</t>
  </si>
  <si>
    <t>EBIT Check</t>
  </si>
  <si>
    <t>First Year in Model</t>
  </si>
  <si>
    <t>Net, PP&amp;E</t>
  </si>
  <si>
    <t>New Goodwill</t>
  </si>
  <si>
    <t>New Preferred Stock</t>
  </si>
  <si>
    <t>Check</t>
  </si>
  <si>
    <t>Adjustments</t>
  </si>
  <si>
    <t>Acquisition</t>
  </si>
  <si>
    <t>Adjusted</t>
  </si>
  <si>
    <t>Balance Sheet @ Close</t>
  </si>
  <si>
    <t>Sources &amp; Uses</t>
  </si>
  <si>
    <t>Sources</t>
  </si>
  <si>
    <t>Uses</t>
  </si>
  <si>
    <t>Cash on Balance Sheet</t>
  </si>
  <si>
    <t>Purchase of Common Stock</t>
  </si>
  <si>
    <t>Purchase of Stock Options and Restricted Stock</t>
  </si>
  <si>
    <t>Unsecured Bridge Loan</t>
  </si>
  <si>
    <t>Settlement of Equity Security Interests</t>
  </si>
  <si>
    <t>Secured European Bridge Loan</t>
  </si>
  <si>
    <t>Purchase of all Warrants</t>
  </si>
  <si>
    <t>Mortgage Loan Agreements</t>
  </si>
  <si>
    <t>Transaction Fees</t>
  </si>
  <si>
    <t>Sponsor Equity</t>
  </si>
  <si>
    <t>Severance and Bonus Payments</t>
  </si>
  <si>
    <t>% of Total Sales</t>
  </si>
  <si>
    <t>% of Segment EBITDA</t>
  </si>
  <si>
    <t>Note:  % of total sales &amp; % of total EBITDA excludes Kids R Us in 2005</t>
  </si>
  <si>
    <t>Segment Sales</t>
  </si>
  <si>
    <t>Consolidated</t>
  </si>
  <si>
    <t>No Kids R Us</t>
  </si>
  <si>
    <t>Adj Sales</t>
  </si>
  <si>
    <t>Segment EBITDA</t>
  </si>
  <si>
    <t>Adj EBITDA</t>
  </si>
  <si>
    <t>Segment Sales &amp; EBITDA Calculations - Excluding Kids R Us</t>
  </si>
  <si>
    <t>Summary of Fees</t>
  </si>
  <si>
    <t>Advisory Fees &amp; Expenses</t>
  </si>
  <si>
    <t>Financing Fees</t>
  </si>
  <si>
    <t>Sponsor Fees</t>
  </si>
  <si>
    <t>Other</t>
  </si>
  <si>
    <t>Source:  Toys R Us - Form 10-Q June 30, 2005</t>
  </si>
  <si>
    <t>Minimum Cash on Balance Sheet (1)</t>
  </si>
  <si>
    <t>Consolidated Balance Sheet @ Transaction Close</t>
  </si>
  <si>
    <t>Key Inputs &amp; Assumptions</t>
  </si>
  <si>
    <t>Ownership Table</t>
  </si>
  <si>
    <t>Summary of Fees &amp; Expenses</t>
  </si>
  <si>
    <t>Model Summary</t>
  </si>
  <si>
    <t>Returns Summary</t>
  </si>
  <si>
    <t>Pro Forma Leverage Summary</t>
  </si>
  <si>
    <t>Equity Price per Share</t>
  </si>
  <si>
    <t>Equity Value</t>
  </si>
  <si>
    <t>Assumed Debt</t>
  </si>
  <si>
    <t>Enterprise Value</t>
  </si>
  <si>
    <t>FYE 2005 EBITDA</t>
  </si>
  <si>
    <t>Total Debt</t>
  </si>
  <si>
    <t>Value</t>
  </si>
  <si>
    <t>Transaction Assumptions</t>
  </si>
  <si>
    <t>Purchase Price per Share</t>
  </si>
  <si>
    <t>Implied Shares Purchased</t>
  </si>
  <si>
    <t>Other Transaction Value (Ex Fees)</t>
  </si>
  <si>
    <t>Enterprise Value w/Fees</t>
  </si>
  <si>
    <t>Total EV / FYE 2005 EBITDA</t>
  </si>
  <si>
    <t>EV (Excluding Fees) / FYE 2005 EBITDA</t>
  </si>
  <si>
    <t>Transaction Summary</t>
  </si>
  <si>
    <t>Remaining Cash on Balance Sheet</t>
  </si>
  <si>
    <t>Debt Assumed by Consortium</t>
  </si>
  <si>
    <t>Cash Remaining on the Balance Sheet</t>
  </si>
  <si>
    <t>% of Total</t>
  </si>
  <si>
    <t xml:space="preserve">Interest </t>
  </si>
  <si>
    <t>Rate</t>
  </si>
  <si>
    <t>Total Sources</t>
  </si>
  <si>
    <t>Total Cash Sources</t>
  </si>
  <si>
    <t>\</t>
  </si>
  <si>
    <t>Total Cash Uses</t>
  </si>
  <si>
    <t>Total Uses</t>
  </si>
  <si>
    <t>Senior Secured Credit Facility</t>
  </si>
  <si>
    <t>Less Tangible Net Worth</t>
  </si>
  <si>
    <t>Equity Purchase Price (Incl. Fees)</t>
  </si>
  <si>
    <t>Note:  Goodwill Calculation</t>
  </si>
  <si>
    <t>*</t>
  </si>
  <si>
    <t>Income Statement</t>
  </si>
  <si>
    <t>Interest Expense</t>
  </si>
  <si>
    <t>Pre-Tax Income</t>
  </si>
  <si>
    <t>Taxes</t>
  </si>
  <si>
    <t>Net Income</t>
  </si>
  <si>
    <t>Total Interest Expense</t>
  </si>
  <si>
    <t>Dividends</t>
  </si>
  <si>
    <t>Assumed Annual Dividends</t>
  </si>
  <si>
    <t>Model Assumptions</t>
  </si>
  <si>
    <t>Cash Flow Statement</t>
  </si>
  <si>
    <t>Balance Sheet</t>
  </si>
  <si>
    <t>Interest Rate &amp; Working Capital Assumptions</t>
  </si>
  <si>
    <t>Interest Rate Assumptions</t>
  </si>
  <si>
    <t>LIBOR</t>
  </si>
  <si>
    <t>Interest Earned on Cash</t>
  </si>
  <si>
    <t>Cash Interest Rate on Debt</t>
  </si>
  <si>
    <t>LIBOR Spread</t>
  </si>
  <si>
    <t>Key Inputs</t>
  </si>
  <si>
    <t>3-Month LIBOR in January 2005</t>
  </si>
  <si>
    <t>LIBOR Step-up Throughout Projection Period</t>
  </si>
  <si>
    <t>Maximum LIBOR in Model</t>
  </si>
  <si>
    <t>Interest Earned on Cash on Balance Sheet</t>
  </si>
  <si>
    <t>Interest Earned on Cash Step-Up</t>
  </si>
  <si>
    <t>Maximum Interest Rate on Cash on Balance Sheet</t>
  </si>
  <si>
    <t>Market Interest Rate Assumptions</t>
  </si>
  <si>
    <t>Rates on New Debt</t>
  </si>
  <si>
    <t>Fixed Rate</t>
  </si>
  <si>
    <t>Workings Capital Assumptions</t>
  </si>
  <si>
    <t xml:space="preserve">   Days Outstanding</t>
  </si>
  <si>
    <t xml:space="preserve">   Turns</t>
  </si>
  <si>
    <t>For Simplicity - model assumes deal close at end of FYE 2005 - no stub period calculation for July 21, 2005 close</t>
  </si>
  <si>
    <t>No Changes in long-term assets or long-term liabilities (workings capital changes on current assets and current liabilities)</t>
  </si>
  <si>
    <t>Working Capital</t>
  </si>
  <si>
    <t>Other Current Assets</t>
  </si>
  <si>
    <t>(Increase in) Reduction of Working Capital</t>
  </si>
  <si>
    <t>(Increase) / Decrease in Long-Term Assets</t>
  </si>
  <si>
    <t>Increase / (Decrease) in Long-Term Liabilities</t>
  </si>
  <si>
    <t>Annual Changes in Long-Term Assets</t>
  </si>
  <si>
    <t>Annual Changes in Long-Term Liabilities</t>
  </si>
  <si>
    <t>Working Capital Assumptions</t>
  </si>
  <si>
    <t>Constant days / turns for current assets and current liabilities</t>
  </si>
  <si>
    <t>Other Assumptions</t>
  </si>
  <si>
    <t>For inventory turn calculation - turns based on COGS &amp; SG&amp;A to reconcile with disclosure by segment</t>
  </si>
  <si>
    <t>No amortization of old or new goodwill</t>
  </si>
  <si>
    <t>No use of deferred taxes - for simplicity, one tax rate is used</t>
  </si>
  <si>
    <t>Interest Income on Cash Balance</t>
  </si>
  <si>
    <t>EBITDA - Capex</t>
  </si>
  <si>
    <t>(Increase) / Decrease in Working Capital</t>
  </si>
  <si>
    <t>(Increase) / Decrease in Other LT Assets</t>
  </si>
  <si>
    <t>Increase / (Decrease) in Other LT Liabilities</t>
  </si>
  <si>
    <t>Cash Taxes</t>
  </si>
  <si>
    <t>Cash on Balance Sheet in Excess of Minimum Balance</t>
  </si>
  <si>
    <t>Cash Available for Debt Service</t>
  </si>
  <si>
    <t>Other Sources / (Uses) of Cash</t>
  </si>
  <si>
    <t>Cash Available for Debt Amortization / Repayment</t>
  </si>
  <si>
    <t>Excess Cash After Debt Repayment</t>
  </si>
  <si>
    <t>Minimum Cash Balance</t>
  </si>
  <si>
    <t>Ending Cash Balance</t>
  </si>
  <si>
    <t>Assumed Exit Year</t>
  </si>
  <si>
    <t>Exit</t>
  </si>
  <si>
    <t>Enterprise</t>
  </si>
  <si>
    <t>Debt</t>
  </si>
  <si>
    <t>Cash</t>
  </si>
  <si>
    <t>Less:</t>
  </si>
  <si>
    <t>Plus:</t>
  </si>
  <si>
    <t>Equity</t>
  </si>
  <si>
    <t>Net</t>
  </si>
  <si>
    <t>Option</t>
  </si>
  <si>
    <t>Proceeds</t>
  </si>
  <si>
    <t>Adj. Equity</t>
  </si>
  <si>
    <t xml:space="preserve">Sponsor </t>
  </si>
  <si>
    <t>Mgmt</t>
  </si>
  <si>
    <t>Ownership</t>
  </si>
  <si>
    <t>Net Value</t>
  </si>
  <si>
    <t>of Options</t>
  </si>
  <si>
    <t>ROI</t>
  </si>
  <si>
    <t>Gains</t>
  </si>
  <si>
    <t>with</t>
  </si>
  <si>
    <t>Sponsor Return</t>
  </si>
  <si>
    <t>Sponsor Return Including Initial Fees</t>
  </si>
  <si>
    <t>Fee</t>
  </si>
  <si>
    <t>All debt is cash pay - no PIK option</t>
  </si>
  <si>
    <t>All equity invested in deal is common - no preferred equity (or associated dividends)</t>
  </si>
  <si>
    <t>Sponsors take no management fees during investment hold</t>
  </si>
  <si>
    <t>10% option pool for new management - options strike at sponsor purchase price (proxy for restricted stock given to mgmt)</t>
  </si>
  <si>
    <t>Existing Debt &amp; Senior Credit Facility is prepaid - excess cash flow generated will accumulate on balance sheet</t>
  </si>
  <si>
    <t>Management Option Pool</t>
  </si>
  <si>
    <t>Sponsors</t>
  </si>
  <si>
    <t>Management</t>
  </si>
  <si>
    <t>Initial</t>
  </si>
  <si>
    <t>Fully</t>
  </si>
  <si>
    <t>Diluted</t>
  </si>
  <si>
    <t>Investment</t>
  </si>
  <si>
    <t>Initial Management Investment</t>
  </si>
  <si>
    <t>Only sponsors invest in the equity at close - e.g., no co-invest from management</t>
  </si>
  <si>
    <t>Gain</t>
  </si>
  <si>
    <t>w/Fee</t>
  </si>
  <si>
    <t>Note:  Cash includes short-term investments.</t>
  </si>
  <si>
    <t>Net Debt</t>
  </si>
  <si>
    <t>Net Debt / EBITDA</t>
  </si>
  <si>
    <t>EBITDA / Interest Expense</t>
  </si>
  <si>
    <t>(EBITDA-Capex) / Interest Expense</t>
  </si>
  <si>
    <t>Total Debt / EBITDA</t>
  </si>
  <si>
    <t>Credit Statistics</t>
  </si>
  <si>
    <t>Instructions</t>
  </si>
  <si>
    <t>All transaction fees are expensed at close</t>
  </si>
  <si>
    <t>Cumul. Pay Down</t>
  </si>
  <si>
    <t>Tax Loss Carryforward</t>
  </si>
  <si>
    <t>Beginning Balance</t>
  </si>
  <si>
    <t>Additions</t>
  </si>
  <si>
    <t>Use of NOLs</t>
  </si>
  <si>
    <t>Ending Balance</t>
  </si>
  <si>
    <t>Note:  Paste these tables into PowerPoint presentation for slides summarizing base case assumptions by segment</t>
  </si>
  <si>
    <t>Note:  Paste this table into PowerPoint presentation for slide summarizing consolidated projections</t>
  </si>
  <si>
    <t>Note:  Paste this table into PowerPoint presentation for transaction overview</t>
  </si>
  <si>
    <t>Transaction Overview</t>
  </si>
  <si>
    <t>Note:  Paste this table into PowerPoint presentation for returns summary</t>
  </si>
  <si>
    <t>Do not change any of the assumptions on these worksheets</t>
  </si>
  <si>
    <t>Become familiar with the sources and uses of the transaction</t>
  </si>
  <si>
    <t>The case manager section on the bottom of the "Case Manager" worksheet allows you to store 5 operating models in the model at once</t>
  </si>
  <si>
    <t>The model has the ability to hold 5 operating cases at once</t>
  </si>
  <si>
    <t>You should develop a base case, at least one downside case and one upside case</t>
  </si>
  <si>
    <t>Default operating case in each scenario is zero growth and constant margins - (e.g., flat EBITDA over projection period)</t>
  </si>
  <si>
    <t>Remember:  only change inputs in the "Operating Model" section of the model and only change cells highlighted in yellow and blue text</t>
  </si>
  <si>
    <t>Assumptions should be changed on each segment tab only - all the numbers flow into a summary financial tab which drives the model</t>
  </si>
  <si>
    <t>3.  Analyze "Model Outputs" Section to understand how operating assumptions impact the LBO model</t>
  </si>
  <si>
    <t>Analyze credit statistics and returns to evaluate the risk / return profile of the transaction</t>
  </si>
  <si>
    <t>If you have a question or issue with the model - contact Matthew Raino at mraino2007@kellogg.northwestern.edu</t>
  </si>
  <si>
    <t>The exhibits in this section do not need to be altered however feel free to add other outputs you deem relevant</t>
  </si>
  <si>
    <t>1.  Review the assumptions in the "Static Model Assumptions" section of the model</t>
  </si>
  <si>
    <t>2.  Review "Operating Model" section to develop operating cases</t>
  </si>
  <si>
    <t>In the Toys R Us - Domestic sections - do not assume more than 150 stores are divested</t>
  </si>
  <si>
    <t>Cells with yellow highlighting and blue text are assumptions which can be changed to drive your operating model</t>
  </si>
  <si>
    <t>Do not change any cells within the "Model Outputs" section - all outputs from operating model assumptions</t>
  </si>
  <si>
    <t>4.  Based on outputs from model - use the "Exhibits for Presentation" section to complete your PowerPoint Analysis of the transaction</t>
  </si>
  <si>
    <t>Enterprise Value &amp; Leverage Summary</t>
  </si>
  <si>
    <t>Multiple of</t>
  </si>
  <si>
    <t>Amount</t>
  </si>
  <si>
    <t>FYE 2005 Adj. EBITDA</t>
  </si>
  <si>
    <t>Transaction Proceeds (excl. fees)</t>
  </si>
  <si>
    <t>Approximate Existing Debt</t>
  </si>
  <si>
    <t>Total Transaction Value</t>
  </si>
  <si>
    <t>2004 Adjusted EBITDA</t>
  </si>
  <si>
    <t>Leverage Analysis</t>
  </si>
  <si>
    <t>Cumul. Multiple</t>
  </si>
  <si>
    <t>$2BN Senior Secured Credit Facility</t>
  </si>
  <si>
    <t>Net Leverage</t>
  </si>
  <si>
    <t>Capex</t>
  </si>
  <si>
    <t>Returns (Including Sponsor Fee)</t>
  </si>
  <si>
    <t>Note:  Debt rates are estimated</t>
  </si>
  <si>
    <t>Note: Senior secured credit facility has $2.0 billion of availability.</t>
  </si>
  <si>
    <t>(1)  Based on cash and short term investments on balance sheet at end of FY 2005 and cash used in deal.</t>
  </si>
  <si>
    <t>Cell "G64" is the trigger to drive which operating case runs through the LBO model</t>
  </si>
  <si>
    <t>Developing the cases will allow you to understand the risk / return profile of the deal - by analyzing potential different operating scenarios</t>
  </si>
  <si>
    <t>Operating cases should be based on your industry analysis by segment guided by materials in the case and your general view on the industries</t>
  </si>
  <si>
    <t>% of Sales</t>
  </si>
  <si>
    <t>Cash Remaining on Balance Sheet at Exit (2)</t>
  </si>
  <si>
    <t xml:space="preserve">(2)  Assumes next buyer will require $500mm of cash to support working capital.  </t>
  </si>
  <si>
    <t>Assumption is this is level of cash Sponsors will use to support business.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</si>
</sst>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0.0"/>
    <numFmt numFmtId="167" formatCode="&quot;$&quot;#,##0.0"/>
    <numFmt numFmtId="168" formatCode="&quot;$&quot;#,##0.0_);\(&quot;$&quot;#,##0.0\)"/>
    <numFmt numFmtId="169" formatCode="&quot;$&quot;#,##0.000_);\(&quot;$&quot;#,##0.000\)"/>
    <numFmt numFmtId="170" formatCode="&quot;$&quot;#,##0.0000_);\(&quot;$&quot;#,##0.0000\)"/>
    <numFmt numFmtId="171" formatCode="&quot;$&quot;#,##0.00000_);\(&quot;$&quot;#,##0.00000\)"/>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_(&quot;$&quot;* #,##0.0_);_(&quot;$&quot;* \(#,##0.0\);_(&quot;$&quot;* &quot;-&quot;??_);_(@_)"/>
    <numFmt numFmtId="178" formatCode="0.0\x"/>
    <numFmt numFmtId="179" formatCode="#,##0.0_);\(#,##0.0\)"/>
    <numFmt numFmtId="180" formatCode="#,##0.0"/>
    <numFmt numFmtId="181" formatCode="0.00\x"/>
    <numFmt numFmtId="182" formatCode="0.0000%"/>
    <numFmt numFmtId="183" formatCode="_(&quot;$&quot;* #,##0.000_);_(&quot;$&quot;* \(#,##0.000\);_(&quot;$&quot;* &quot;-&quot;??_);_(@_)"/>
    <numFmt numFmtId="184" formatCode="_(* #,##0.000_);_(* \(#,##0.000\);_(* &quot;-&quot;???_);_(@_)"/>
    <numFmt numFmtId="185" formatCode="_(* #,##0.0_);_(* \(#,##0.0\);_(* &quot;-&quot;??_);_(@_)"/>
    <numFmt numFmtId="186" formatCode="0_)"/>
    <numFmt numFmtId="187" formatCode="#,##0.00&quot; x&quot;_);[Red]\(#,##0.00&quot; x&quot;\)"/>
    <numFmt numFmtId="188" formatCode="&quot;$&quot;#,##0.0_);[Red]\(&quot;$&quot;#,##0.0\)"/>
    <numFmt numFmtId="189" formatCode="#,##0.0_);[Red]\(#,##0.0\)"/>
  </numFmts>
  <fonts count="69">
    <font>
      <sz val="10"/>
      <name val="Arial"/>
      <family val="0"/>
    </font>
    <font>
      <sz val="8"/>
      <name val="Arial"/>
      <family val="0"/>
    </font>
    <font>
      <sz val="10"/>
      <name val="Times New Roman"/>
      <family val="1"/>
    </font>
    <font>
      <b/>
      <i/>
      <sz val="10"/>
      <name val="Times New Roman"/>
      <family val="1"/>
    </font>
    <font>
      <i/>
      <sz val="8"/>
      <name val="Times New Roman"/>
      <family val="1"/>
    </font>
    <font>
      <b/>
      <sz val="10"/>
      <name val="Times New Roman"/>
      <family val="1"/>
    </font>
    <font>
      <sz val="10"/>
      <color indexed="12"/>
      <name val="Times New Roman"/>
      <family val="1"/>
    </font>
    <font>
      <b/>
      <sz val="10"/>
      <color indexed="12"/>
      <name val="Times New Roman"/>
      <family val="1"/>
    </font>
    <font>
      <i/>
      <sz val="10"/>
      <name val="Times New Roman"/>
      <family val="1"/>
    </font>
    <font>
      <i/>
      <sz val="8"/>
      <color indexed="12"/>
      <name val="Times New Roman"/>
      <family val="1"/>
    </font>
    <font>
      <b/>
      <i/>
      <sz val="10"/>
      <color indexed="12"/>
      <name val="Times New Roman"/>
      <family val="1"/>
    </font>
    <font>
      <sz val="10"/>
      <color indexed="9"/>
      <name val="Times New Roman"/>
      <family val="1"/>
    </font>
    <font>
      <u val="single"/>
      <sz val="10"/>
      <color indexed="36"/>
      <name val="Arial"/>
      <family val="0"/>
    </font>
    <font>
      <u val="single"/>
      <sz val="10"/>
      <color indexed="12"/>
      <name val="Arial"/>
      <family val="0"/>
    </font>
    <font>
      <b/>
      <u val="single"/>
      <sz val="10"/>
      <name val="Times New Roman"/>
      <family val="1"/>
    </font>
    <font>
      <i/>
      <sz val="10"/>
      <color indexed="10"/>
      <name val="Times New Roman"/>
      <family val="1"/>
    </font>
    <font>
      <i/>
      <u val="single"/>
      <sz val="10"/>
      <name val="Times New Roman"/>
      <family val="1"/>
    </font>
    <font>
      <b/>
      <sz val="10"/>
      <color indexed="9"/>
      <name val="Times New Roman"/>
      <family val="1"/>
    </font>
    <font>
      <i/>
      <sz val="10"/>
      <color indexed="12"/>
      <name val="Times New Roman"/>
      <family val="1"/>
    </font>
    <font>
      <sz val="10"/>
      <color indexed="17"/>
      <name val="Times New Roman"/>
      <family val="1"/>
    </font>
    <font>
      <i/>
      <sz val="10"/>
      <color indexed="17"/>
      <name val="Times New Roman"/>
      <family val="1"/>
    </font>
    <font>
      <b/>
      <i/>
      <sz val="10"/>
      <color indexed="17"/>
      <name val="Times New Roman"/>
      <family val="1"/>
    </font>
    <font>
      <b/>
      <sz val="12"/>
      <name val="Times New Roman"/>
      <family val="1"/>
    </font>
    <font>
      <b/>
      <u val="single"/>
      <sz val="12"/>
      <color indexed="9"/>
      <name val="Times New Roman"/>
      <family val="1"/>
    </font>
    <font>
      <sz val="8"/>
      <name val="Times New Roman"/>
      <family val="1"/>
    </font>
    <font>
      <u val="single"/>
      <sz val="10"/>
      <name val="Times New Roman"/>
      <family val="1"/>
    </font>
    <font>
      <u val="single"/>
      <sz val="10"/>
      <color indexed="12"/>
      <name val="Times New Roman"/>
      <family val="1"/>
    </font>
    <font>
      <sz val="10"/>
      <color indexed="10"/>
      <name val="Times New Roman"/>
      <family val="1"/>
    </font>
    <font>
      <sz val="10"/>
      <color indexed="8"/>
      <name val="Times New Roman"/>
      <family val="1"/>
    </font>
    <font>
      <sz val="10"/>
      <name val="Helvetica"/>
      <family val="0"/>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Times New Roman"/>
      <family val="1"/>
    </font>
    <font>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color indexed="22"/>
      </bottom>
    </border>
    <border>
      <left>
        <color indexed="63"/>
      </left>
      <right>
        <color indexed="63"/>
      </right>
      <top>
        <color indexed="63"/>
      </top>
      <bottom style="thin"/>
    </border>
    <border>
      <left>
        <color indexed="63"/>
      </left>
      <right>
        <color indexed="63"/>
      </right>
      <top>
        <color indexed="63"/>
      </top>
      <bottom style="thin">
        <color indexed="22"/>
      </bottom>
    </border>
    <border>
      <left>
        <color indexed="63"/>
      </left>
      <right style="thin"/>
      <top>
        <color indexed="63"/>
      </top>
      <bottom style="thin">
        <color indexed="22"/>
      </bottom>
    </border>
    <border>
      <left>
        <color indexed="63"/>
      </left>
      <right style="thin"/>
      <top style="thin">
        <color indexed="22"/>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color indexed="22"/>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medium"/>
      <bottom style="thin">
        <color indexed="22"/>
      </bottom>
    </border>
    <border>
      <left>
        <color indexed="63"/>
      </left>
      <right>
        <color indexed="63"/>
      </right>
      <top style="thin"/>
      <bottom style="medium"/>
    </border>
    <border>
      <left>
        <color indexed="63"/>
      </left>
      <right>
        <color indexed="63"/>
      </right>
      <top style="thin">
        <color indexed="22"/>
      </top>
      <bottom>
        <color indexed="63"/>
      </bottom>
    </border>
    <border>
      <left>
        <color indexed="63"/>
      </left>
      <right style="thin"/>
      <top style="thin">
        <color indexed="22"/>
      </top>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color indexed="22"/>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color indexed="22"/>
      </top>
      <bottom style="medium"/>
    </border>
    <border>
      <left style="thin"/>
      <right>
        <color indexed="63"/>
      </right>
      <top>
        <color indexed="63"/>
      </top>
      <bottom style="mediu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9"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5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2" fillId="0" borderId="10" xfId="0" applyFont="1" applyBorder="1" applyAlignment="1">
      <alignment/>
    </xf>
    <xf numFmtId="0" fontId="4" fillId="0" borderId="0" xfId="0" applyFont="1" applyAlignment="1">
      <alignment/>
    </xf>
    <xf numFmtId="0" fontId="2" fillId="0" borderId="11" xfId="0" applyFont="1" applyBorder="1" applyAlignment="1">
      <alignment horizontal="centerContinuous"/>
    </xf>
    <xf numFmtId="0" fontId="2" fillId="0" borderId="12" xfId="0" applyFont="1" applyBorder="1" applyAlignment="1">
      <alignment/>
    </xf>
    <xf numFmtId="0" fontId="2" fillId="0" borderId="0" xfId="0" applyFont="1" applyBorder="1" applyAlignment="1">
      <alignment/>
    </xf>
    <xf numFmtId="164" fontId="2" fillId="0" borderId="0" xfId="60" applyNumberFormat="1" applyFont="1" applyAlignment="1">
      <alignment/>
    </xf>
    <xf numFmtId="0" fontId="2" fillId="0" borderId="13" xfId="0" applyFont="1" applyBorder="1" applyAlignment="1">
      <alignment/>
    </xf>
    <xf numFmtId="5" fontId="2" fillId="0" borderId="0" xfId="0" applyNumberFormat="1" applyFont="1" applyAlignment="1">
      <alignment/>
    </xf>
    <xf numFmtId="0" fontId="3" fillId="0" borderId="13" xfId="0" applyFont="1" applyBorder="1" applyAlignment="1">
      <alignment horizontal="centerContinuous"/>
    </xf>
    <xf numFmtId="0" fontId="5" fillId="0" borderId="13" xfId="0" applyFont="1" applyBorder="1" applyAlignment="1">
      <alignment horizontal="centerContinuous"/>
    </xf>
    <xf numFmtId="0" fontId="2" fillId="0" borderId="14" xfId="0" applyFont="1" applyBorder="1" applyAlignment="1">
      <alignment horizontal="centerContinuous"/>
    </xf>
    <xf numFmtId="0" fontId="5" fillId="0" borderId="12" xfId="0" applyNumberFormat="1" applyFont="1" applyBorder="1" applyAlignment="1">
      <alignment horizontal="right"/>
    </xf>
    <xf numFmtId="0" fontId="5" fillId="0" borderId="15" xfId="0" applyNumberFormat="1" applyFont="1" applyBorder="1" applyAlignment="1">
      <alignment horizontal="right"/>
    </xf>
    <xf numFmtId="37" fontId="2" fillId="0" borderId="13" xfId="0" applyNumberFormat="1" applyFont="1" applyBorder="1" applyAlignment="1">
      <alignment/>
    </xf>
    <xf numFmtId="0" fontId="8" fillId="0" borderId="0" xfId="0" applyFont="1" applyFill="1" applyBorder="1" applyAlignment="1">
      <alignment/>
    </xf>
    <xf numFmtId="0" fontId="8" fillId="0" borderId="10" xfId="0" applyFont="1" applyFill="1" applyBorder="1" applyAlignment="1">
      <alignment/>
    </xf>
    <xf numFmtId="164" fontId="2" fillId="0" borderId="10" xfId="60" applyNumberFormat="1" applyFont="1" applyBorder="1" applyAlignment="1">
      <alignment/>
    </xf>
    <xf numFmtId="37" fontId="2" fillId="0" borderId="0" xfId="0" applyNumberFormat="1" applyFont="1" applyAlignment="1">
      <alignment/>
    </xf>
    <xf numFmtId="0" fontId="9" fillId="0" borderId="0" xfId="0" applyFont="1" applyAlignment="1">
      <alignment/>
    </xf>
    <xf numFmtId="0" fontId="2" fillId="0" borderId="16" xfId="0" applyFont="1" applyBorder="1" applyAlignment="1">
      <alignment/>
    </xf>
    <xf numFmtId="5" fontId="2" fillId="0" borderId="17" xfId="0" applyNumberFormat="1" applyFont="1" applyBorder="1" applyAlignment="1">
      <alignment/>
    </xf>
    <xf numFmtId="37" fontId="2" fillId="0" borderId="17" xfId="0" applyNumberFormat="1" applyFont="1" applyBorder="1" applyAlignment="1">
      <alignment/>
    </xf>
    <xf numFmtId="37" fontId="2" fillId="0" borderId="14" xfId="0" applyNumberFormat="1" applyFont="1" applyBorder="1" applyAlignment="1">
      <alignment/>
    </xf>
    <xf numFmtId="164" fontId="2" fillId="0" borderId="17" xfId="60" applyNumberFormat="1" applyFont="1" applyBorder="1" applyAlignment="1">
      <alignment/>
    </xf>
    <xf numFmtId="0" fontId="2" fillId="0" borderId="17" xfId="0" applyFont="1" applyBorder="1" applyAlignment="1">
      <alignment/>
    </xf>
    <xf numFmtId="164" fontId="2" fillId="0" borderId="18" xfId="60" applyNumberFormat="1" applyFont="1" applyBorder="1" applyAlignment="1">
      <alignment/>
    </xf>
    <xf numFmtId="0" fontId="8" fillId="0" borderId="0" xfId="0" applyFont="1" applyAlignment="1">
      <alignment/>
    </xf>
    <xf numFmtId="164" fontId="2" fillId="0" borderId="0" xfId="60" applyNumberFormat="1" applyFont="1" applyBorder="1" applyAlignment="1">
      <alignment/>
    </xf>
    <xf numFmtId="0" fontId="5" fillId="0" borderId="19" xfId="0" applyNumberFormat="1" applyFont="1" applyBorder="1" applyAlignment="1">
      <alignment horizontal="right"/>
    </xf>
    <xf numFmtId="0" fontId="5" fillId="0" borderId="0" xfId="0" applyFont="1" applyAlignment="1">
      <alignment horizontal="center"/>
    </xf>
    <xf numFmtId="0" fontId="5" fillId="0" borderId="12" xfId="0" applyFont="1" applyBorder="1" applyAlignment="1" quotePrefix="1">
      <alignment horizontal="center"/>
    </xf>
    <xf numFmtId="0" fontId="6" fillId="0" borderId="0" xfId="0" applyFont="1" applyAlignment="1">
      <alignment/>
    </xf>
    <xf numFmtId="0" fontId="2" fillId="0" borderId="20" xfId="0" applyFont="1" applyBorder="1" applyAlignment="1">
      <alignment/>
    </xf>
    <xf numFmtId="0" fontId="3" fillId="0" borderId="20" xfId="0" applyFont="1" applyBorder="1" applyAlignment="1">
      <alignment/>
    </xf>
    <xf numFmtId="0" fontId="6" fillId="0" borderId="10" xfId="0" applyFont="1" applyBorder="1" applyAlignment="1">
      <alignment/>
    </xf>
    <xf numFmtId="0" fontId="5" fillId="0" borderId="21" xfId="0" applyFont="1" applyBorder="1" applyAlignment="1">
      <alignment/>
    </xf>
    <xf numFmtId="166" fontId="7" fillId="33" borderId="22" xfId="0" applyNumberFormat="1" applyFont="1" applyFill="1" applyBorder="1" applyAlignment="1">
      <alignment horizontal="center"/>
    </xf>
    <xf numFmtId="166" fontId="2" fillId="0" borderId="10" xfId="0" applyNumberFormat="1" applyFont="1" applyBorder="1" applyAlignment="1">
      <alignment horizontal="center"/>
    </xf>
    <xf numFmtId="0" fontId="6" fillId="0" borderId="0" xfId="0" applyFont="1" applyAlignment="1">
      <alignment horizontal="right"/>
    </xf>
    <xf numFmtId="0" fontId="6" fillId="0" borderId="0" xfId="0" applyFont="1" applyBorder="1" applyAlignment="1">
      <alignment/>
    </xf>
    <xf numFmtId="166" fontId="2" fillId="0" borderId="0" xfId="0" applyNumberFormat="1" applyFont="1" applyBorder="1" applyAlignment="1">
      <alignment horizontal="center"/>
    </xf>
    <xf numFmtId="0" fontId="5" fillId="0" borderId="23" xfId="0" applyFont="1" applyBorder="1" applyAlignment="1">
      <alignment/>
    </xf>
    <xf numFmtId="0" fontId="2" fillId="0" borderId="23" xfId="0" applyFont="1" applyBorder="1" applyAlignment="1">
      <alignment/>
    </xf>
    <xf numFmtId="0" fontId="3" fillId="0" borderId="23" xfId="0" applyFont="1" applyBorder="1" applyAlignment="1">
      <alignment/>
    </xf>
    <xf numFmtId="0" fontId="8" fillId="0" borderId="0" xfId="0" applyFont="1" applyBorder="1" applyAlignment="1">
      <alignment/>
    </xf>
    <xf numFmtId="166" fontId="7" fillId="0" borderId="23" xfId="0" applyNumberFormat="1" applyFont="1" applyFill="1" applyBorder="1" applyAlignment="1">
      <alignment horizontal="center"/>
    </xf>
    <xf numFmtId="0" fontId="10" fillId="0" borderId="0" xfId="0" applyFont="1" applyAlignment="1">
      <alignment/>
    </xf>
    <xf numFmtId="164" fontId="6" fillId="0" borderId="0" xfId="60" applyNumberFormat="1" applyFont="1" applyAlignment="1">
      <alignment/>
    </xf>
    <xf numFmtId="164" fontId="6" fillId="0" borderId="13" xfId="60" applyNumberFormat="1" applyFont="1" applyBorder="1" applyAlignment="1">
      <alignment/>
    </xf>
    <xf numFmtId="0" fontId="2" fillId="0" borderId="24" xfId="0" applyFont="1" applyBorder="1" applyAlignment="1">
      <alignment horizontal="centerContinuous"/>
    </xf>
    <xf numFmtId="164" fontId="6" fillId="0" borderId="17" xfId="60" applyNumberFormat="1" applyFont="1" applyBorder="1" applyAlignment="1">
      <alignment/>
    </xf>
    <xf numFmtId="164" fontId="6" fillId="0" borderId="14" xfId="60" applyNumberFormat="1" applyFont="1" applyBorder="1" applyAlignment="1">
      <alignment/>
    </xf>
    <xf numFmtId="5" fontId="6" fillId="0" borderId="10" xfId="0" applyNumberFormat="1" applyFont="1" applyBorder="1" applyAlignment="1">
      <alignment/>
    </xf>
    <xf numFmtId="5" fontId="2" fillId="0" borderId="10" xfId="0" applyNumberFormat="1" applyFont="1" applyBorder="1" applyAlignment="1">
      <alignment/>
    </xf>
    <xf numFmtId="0" fontId="7" fillId="0" borderId="10" xfId="0" applyFont="1" applyBorder="1" applyAlignment="1">
      <alignment/>
    </xf>
    <xf numFmtId="5" fontId="6" fillId="0" borderId="18" xfId="0" applyNumberFormat="1" applyFont="1" applyBorder="1" applyAlignment="1">
      <alignment/>
    </xf>
    <xf numFmtId="164" fontId="6" fillId="33" borderId="0" xfId="60" applyNumberFormat="1" applyFont="1" applyFill="1" applyAlignment="1">
      <alignment/>
    </xf>
    <xf numFmtId="164" fontId="6" fillId="33" borderId="13" xfId="60" applyNumberFormat="1" applyFont="1" applyFill="1" applyBorder="1" applyAlignment="1">
      <alignment/>
    </xf>
    <xf numFmtId="1" fontId="6" fillId="0" borderId="0" xfId="0" applyNumberFormat="1" applyFont="1" applyAlignment="1">
      <alignment horizontal="center"/>
    </xf>
    <xf numFmtId="1" fontId="2" fillId="0" borderId="0" xfId="0" applyNumberFormat="1" applyFont="1" applyAlignment="1">
      <alignment horizontal="center"/>
    </xf>
    <xf numFmtId="1" fontId="2" fillId="0" borderId="12" xfId="0" applyNumberFormat="1" applyFont="1" applyBorder="1" applyAlignment="1">
      <alignment horizontal="center"/>
    </xf>
    <xf numFmtId="0" fontId="2" fillId="0" borderId="25" xfId="0" applyFont="1" applyBorder="1" applyAlignment="1">
      <alignment/>
    </xf>
    <xf numFmtId="5" fontId="6" fillId="33" borderId="10" xfId="0" applyNumberFormat="1" applyFont="1" applyFill="1" applyBorder="1" applyAlignment="1">
      <alignment/>
    </xf>
    <xf numFmtId="0" fontId="7" fillId="0" borderId="25" xfId="0" applyFont="1" applyBorder="1" applyAlignment="1">
      <alignment/>
    </xf>
    <xf numFmtId="0" fontId="7" fillId="0" borderId="0" xfId="0" applyFont="1" applyFill="1" applyBorder="1" applyAlignment="1">
      <alignment/>
    </xf>
    <xf numFmtId="0" fontId="2" fillId="0" borderId="0" xfId="0" applyFont="1" applyFill="1" applyBorder="1" applyAlignment="1">
      <alignment/>
    </xf>
    <xf numFmtId="5" fontId="6" fillId="0" borderId="0" xfId="0" applyNumberFormat="1" applyFont="1" applyFill="1" applyBorder="1" applyAlignment="1">
      <alignment/>
    </xf>
    <xf numFmtId="0" fontId="6" fillId="0" borderId="0" xfId="0" applyFont="1" applyFill="1" applyAlignment="1">
      <alignment/>
    </xf>
    <xf numFmtId="0" fontId="6" fillId="0" borderId="12" xfId="0" applyFont="1" applyFill="1" applyBorder="1" applyAlignment="1">
      <alignment/>
    </xf>
    <xf numFmtId="37" fontId="2" fillId="0" borderId="0" xfId="0" applyNumberFormat="1" applyFont="1" applyBorder="1" applyAlignment="1">
      <alignment/>
    </xf>
    <xf numFmtId="171" fontId="11" fillId="0" borderId="0" xfId="0" applyNumberFormat="1" applyFont="1" applyAlignment="1">
      <alignment/>
    </xf>
    <xf numFmtId="164" fontId="2" fillId="0" borderId="0" xfId="60" applyNumberFormat="1" applyFont="1" applyAlignment="1">
      <alignment horizontal="right"/>
    </xf>
    <xf numFmtId="0" fontId="2" fillId="0" borderId="0" xfId="0" applyFont="1" applyAlignment="1">
      <alignment horizontal="center"/>
    </xf>
    <xf numFmtId="0" fontId="2" fillId="0" borderId="10" xfId="0" applyFont="1" applyBorder="1" applyAlignment="1">
      <alignment horizontal="center"/>
    </xf>
    <xf numFmtId="164" fontId="2" fillId="0" borderId="0" xfId="60" applyNumberFormat="1" applyFont="1" applyAlignment="1">
      <alignment horizontal="center"/>
    </xf>
    <xf numFmtId="164" fontId="2" fillId="0" borderId="13" xfId="60" applyNumberFormat="1" applyFont="1" applyBorder="1" applyAlignment="1">
      <alignment horizontal="center"/>
    </xf>
    <xf numFmtId="0" fontId="2" fillId="0" borderId="0" xfId="0" applyFont="1" applyBorder="1" applyAlignment="1">
      <alignment horizontal="center"/>
    </xf>
    <xf numFmtId="164" fontId="2" fillId="0" borderId="0" xfId="60" applyNumberFormat="1" applyFont="1" applyBorder="1" applyAlignment="1">
      <alignment horizontal="center"/>
    </xf>
    <xf numFmtId="164" fontId="2" fillId="0" borderId="10" xfId="60" applyNumberFormat="1" applyFont="1" applyBorder="1" applyAlignment="1">
      <alignment horizontal="center"/>
    </xf>
    <xf numFmtId="164" fontId="2" fillId="0" borderId="10" xfId="60" applyNumberFormat="1" applyFont="1" applyBorder="1" applyAlignment="1">
      <alignment horizontal="right"/>
    </xf>
    <xf numFmtId="164" fontId="6" fillId="0" borderId="0" xfId="60" applyNumberFormat="1" applyFont="1" applyAlignment="1">
      <alignment horizontal="right"/>
    </xf>
    <xf numFmtId="0" fontId="14" fillId="0" borderId="0" xfId="0" applyFont="1" applyAlignment="1">
      <alignment/>
    </xf>
    <xf numFmtId="0" fontId="3" fillId="0" borderId="11" xfId="0" applyFont="1" applyBorder="1" applyAlignment="1">
      <alignment horizontal="centerContinuous"/>
    </xf>
    <xf numFmtId="0" fontId="5" fillId="0" borderId="11" xfId="0" applyFont="1" applyBorder="1" applyAlignment="1">
      <alignment horizontal="centerContinuous"/>
    </xf>
    <xf numFmtId="14" fontId="5" fillId="0" borderId="12" xfId="0" applyNumberFormat="1" applyFont="1" applyBorder="1" applyAlignment="1">
      <alignment/>
    </xf>
    <xf numFmtId="0" fontId="14" fillId="0" borderId="0" xfId="0" applyFont="1" applyBorder="1" applyAlignment="1">
      <alignment/>
    </xf>
    <xf numFmtId="14" fontId="5" fillId="0" borderId="0" xfId="0" applyNumberFormat="1" applyFont="1" applyBorder="1" applyAlignment="1">
      <alignment/>
    </xf>
    <xf numFmtId="5" fontId="6" fillId="0" borderId="0" xfId="0" applyNumberFormat="1" applyFont="1" applyBorder="1" applyAlignment="1">
      <alignment/>
    </xf>
    <xf numFmtId="5" fontId="2" fillId="0" borderId="0" xfId="0" applyNumberFormat="1" applyFont="1" applyBorder="1" applyAlignment="1">
      <alignment/>
    </xf>
    <xf numFmtId="37" fontId="6" fillId="0" borderId="0" xfId="0" applyNumberFormat="1" applyFont="1" applyBorder="1" applyAlignment="1">
      <alignment/>
    </xf>
    <xf numFmtId="37" fontId="6" fillId="0" borderId="13" xfId="0" applyNumberFormat="1" applyFont="1" applyBorder="1" applyAlignment="1">
      <alignment/>
    </xf>
    <xf numFmtId="5" fontId="6" fillId="0" borderId="0" xfId="0" applyNumberFormat="1" applyFont="1" applyAlignment="1">
      <alignment/>
    </xf>
    <xf numFmtId="0" fontId="5" fillId="0" borderId="0" xfId="0" applyFont="1" applyAlignment="1">
      <alignment/>
    </xf>
    <xf numFmtId="5" fontId="5" fillId="0" borderId="0" xfId="0" applyNumberFormat="1" applyFont="1" applyAlignment="1">
      <alignment/>
    </xf>
    <xf numFmtId="0" fontId="5" fillId="0" borderId="10" xfId="0" applyFont="1" applyBorder="1" applyAlignment="1">
      <alignment/>
    </xf>
    <xf numFmtId="5" fontId="5" fillId="0" borderId="10" xfId="0" applyNumberFormat="1" applyFont="1" applyBorder="1" applyAlignment="1">
      <alignment/>
    </xf>
    <xf numFmtId="0" fontId="5" fillId="0" borderId="0" xfId="0" applyNumberFormat="1" applyFont="1" applyBorder="1" applyAlignment="1">
      <alignment horizontal="right"/>
    </xf>
    <xf numFmtId="0" fontId="5" fillId="0" borderId="17" xfId="0" applyNumberFormat="1" applyFont="1" applyBorder="1" applyAlignment="1">
      <alignment horizontal="right"/>
    </xf>
    <xf numFmtId="0" fontId="5" fillId="0" borderId="0" xfId="0" applyFont="1" applyBorder="1" applyAlignment="1" quotePrefix="1">
      <alignment horizontal="center"/>
    </xf>
    <xf numFmtId="37" fontId="2" fillId="0" borderId="10" xfId="0" applyNumberFormat="1" applyFont="1" applyBorder="1" applyAlignment="1">
      <alignment/>
    </xf>
    <xf numFmtId="37" fontId="6" fillId="0" borderId="26" xfId="0" applyNumberFormat="1" applyFont="1" applyBorder="1" applyAlignment="1">
      <alignment/>
    </xf>
    <xf numFmtId="37" fontId="6" fillId="0" borderId="27" xfId="0" applyNumberFormat="1" applyFont="1" applyBorder="1" applyAlignment="1">
      <alignment/>
    </xf>
    <xf numFmtId="37" fontId="2" fillId="0" borderId="18" xfId="0" applyNumberFormat="1" applyFont="1" applyBorder="1" applyAlignment="1">
      <alignment/>
    </xf>
    <xf numFmtId="3" fontId="6" fillId="33" borderId="0" xfId="60" applyNumberFormat="1" applyFont="1" applyFill="1" applyAlignment="1">
      <alignment/>
    </xf>
    <xf numFmtId="3" fontId="6" fillId="33" borderId="13" xfId="60" applyNumberFormat="1" applyFont="1" applyFill="1" applyBorder="1" applyAlignment="1">
      <alignment/>
    </xf>
    <xf numFmtId="3" fontId="2" fillId="0" borderId="0" xfId="60" applyNumberFormat="1" applyFont="1" applyAlignment="1">
      <alignment/>
    </xf>
    <xf numFmtId="7" fontId="2" fillId="0" borderId="0" xfId="0" applyNumberFormat="1" applyFont="1" applyAlignment="1">
      <alignment/>
    </xf>
    <xf numFmtId="0" fontId="4" fillId="0" borderId="28" xfId="0" applyFont="1" applyBorder="1" applyAlignment="1">
      <alignment/>
    </xf>
    <xf numFmtId="0" fontId="2" fillId="0" borderId="28" xfId="0" applyFont="1" applyBorder="1" applyAlignment="1">
      <alignment/>
    </xf>
    <xf numFmtId="5" fontId="2" fillId="0" borderId="18" xfId="0" applyNumberFormat="1" applyFont="1" applyBorder="1" applyAlignment="1">
      <alignment/>
    </xf>
    <xf numFmtId="168" fontId="6" fillId="0" borderId="10" xfId="0" applyNumberFormat="1" applyFont="1" applyBorder="1" applyAlignment="1">
      <alignment/>
    </xf>
    <xf numFmtId="168" fontId="6" fillId="0" borderId="18" xfId="0" applyNumberFormat="1" applyFont="1" applyBorder="1" applyAlignment="1">
      <alignment/>
    </xf>
    <xf numFmtId="168" fontId="2" fillId="0" borderId="10" xfId="0" applyNumberFormat="1" applyFont="1" applyBorder="1" applyAlignment="1">
      <alignment/>
    </xf>
    <xf numFmtId="37" fontId="2" fillId="0" borderId="0" xfId="0" applyNumberFormat="1" applyFont="1" applyBorder="1" applyAlignment="1">
      <alignment horizontal="right"/>
    </xf>
    <xf numFmtId="0" fontId="5" fillId="0" borderId="13" xfId="0" applyFont="1" applyBorder="1" applyAlignment="1" quotePrefix="1">
      <alignment horizontal="center"/>
    </xf>
    <xf numFmtId="37" fontId="2" fillId="0" borderId="17" xfId="0" applyNumberFormat="1" applyFont="1" applyBorder="1" applyAlignment="1">
      <alignment horizontal="right"/>
    </xf>
    <xf numFmtId="37" fontId="2" fillId="0" borderId="13" xfId="0" applyNumberFormat="1" applyFont="1" applyBorder="1" applyAlignment="1">
      <alignment horizontal="right"/>
    </xf>
    <xf numFmtId="37" fontId="2" fillId="0" borderId="14" xfId="0" applyNumberFormat="1" applyFont="1" applyBorder="1" applyAlignment="1">
      <alignment horizontal="right"/>
    </xf>
    <xf numFmtId="168" fontId="2" fillId="0" borderId="0" xfId="0" applyNumberFormat="1" applyFont="1" applyBorder="1" applyAlignment="1">
      <alignment horizontal="right"/>
    </xf>
    <xf numFmtId="168" fontId="2" fillId="0" borderId="17" xfId="0" applyNumberFormat="1" applyFont="1" applyBorder="1" applyAlignment="1">
      <alignment horizontal="right"/>
    </xf>
    <xf numFmtId="164" fontId="2" fillId="0" borderId="0" xfId="60" applyNumberFormat="1" applyFont="1" applyBorder="1" applyAlignment="1">
      <alignment horizontal="right"/>
    </xf>
    <xf numFmtId="164" fontId="2" fillId="0" borderId="17" xfId="60" applyNumberFormat="1" applyFont="1" applyBorder="1" applyAlignment="1">
      <alignment horizontal="right"/>
    </xf>
    <xf numFmtId="37" fontId="0" fillId="0" borderId="0" xfId="0" applyNumberFormat="1" applyAlignment="1">
      <alignment/>
    </xf>
    <xf numFmtId="37" fontId="6" fillId="0" borderId="16" xfId="0" applyNumberFormat="1" applyFont="1" applyBorder="1" applyAlignment="1">
      <alignment/>
    </xf>
    <xf numFmtId="0" fontId="5" fillId="0" borderId="12" xfId="0" applyFont="1" applyBorder="1" applyAlignment="1">
      <alignment horizontal="center"/>
    </xf>
    <xf numFmtId="3" fontId="2" fillId="0" borderId="0" xfId="0" applyNumberFormat="1" applyFont="1" applyAlignment="1">
      <alignment horizontal="center"/>
    </xf>
    <xf numFmtId="0" fontId="2" fillId="0" borderId="13" xfId="0" applyFont="1" applyBorder="1" applyAlignment="1">
      <alignment horizontal="center"/>
    </xf>
    <xf numFmtId="0" fontId="15" fillId="0" borderId="0" xfId="0" applyFont="1" applyAlignment="1">
      <alignment/>
    </xf>
    <xf numFmtId="0" fontId="16" fillId="0" borderId="0" xfId="0" applyFont="1" applyFill="1" applyAlignment="1">
      <alignment/>
    </xf>
    <xf numFmtId="0" fontId="2" fillId="0" borderId="0" xfId="0" applyFont="1" applyFill="1" applyAlignment="1">
      <alignment/>
    </xf>
    <xf numFmtId="0" fontId="2" fillId="0" borderId="17" xfId="0" applyFont="1" applyFill="1" applyBorder="1" applyAlignment="1">
      <alignment/>
    </xf>
    <xf numFmtId="0" fontId="6" fillId="0" borderId="17" xfId="0" applyFont="1" applyFill="1" applyBorder="1" applyAlignment="1">
      <alignment/>
    </xf>
    <xf numFmtId="0" fontId="17" fillId="0" borderId="0" xfId="0" applyFont="1" applyBorder="1" applyAlignment="1">
      <alignment/>
    </xf>
    <xf numFmtId="0" fontId="5" fillId="0" borderId="0" xfId="0" applyFont="1" applyBorder="1" applyAlignment="1">
      <alignment/>
    </xf>
    <xf numFmtId="168" fontId="17" fillId="0" borderId="0" xfId="0" applyNumberFormat="1" applyFont="1" applyFill="1" applyBorder="1" applyAlignment="1">
      <alignment horizontal="right"/>
    </xf>
    <xf numFmtId="181" fontId="6" fillId="0" borderId="17" xfId="0" applyNumberFormat="1" applyFont="1" applyFill="1" applyBorder="1" applyAlignment="1">
      <alignment/>
    </xf>
    <xf numFmtId="168" fontId="2" fillId="0" borderId="0" xfId="0" applyNumberFormat="1" applyFont="1" applyAlignment="1">
      <alignment/>
    </xf>
    <xf numFmtId="179" fontId="2" fillId="0" borderId="0" xfId="0" applyNumberFormat="1" applyFont="1" applyAlignment="1">
      <alignment/>
    </xf>
    <xf numFmtId="0" fontId="2" fillId="0" borderId="13" xfId="0" applyFont="1" applyFill="1" applyBorder="1" applyAlignment="1">
      <alignment/>
    </xf>
    <xf numFmtId="179" fontId="2" fillId="0" borderId="13" xfId="0" applyNumberFormat="1" applyFont="1" applyBorder="1" applyAlignment="1">
      <alignment/>
    </xf>
    <xf numFmtId="0" fontId="2" fillId="0" borderId="10" xfId="0" applyFont="1" applyFill="1" applyBorder="1" applyAlignment="1">
      <alignment/>
    </xf>
    <xf numFmtId="181" fontId="6" fillId="0" borderId="18" xfId="0" applyNumberFormat="1" applyFont="1" applyFill="1" applyBorder="1" applyAlignment="1">
      <alignment/>
    </xf>
    <xf numFmtId="179" fontId="2" fillId="0" borderId="0" xfId="0" applyNumberFormat="1" applyFont="1" applyBorder="1" applyAlignment="1">
      <alignment horizontal="right"/>
    </xf>
    <xf numFmtId="0" fontId="6" fillId="0" borderId="14" xfId="0" applyFont="1" applyFill="1" applyBorder="1" applyAlignment="1">
      <alignment/>
    </xf>
    <xf numFmtId="181" fontId="6" fillId="0" borderId="0" xfId="0" applyNumberFormat="1" applyFont="1" applyFill="1" applyBorder="1" applyAlignment="1">
      <alignment/>
    </xf>
    <xf numFmtId="168" fontId="2" fillId="0" borderId="0" xfId="0" applyNumberFormat="1" applyFont="1" applyBorder="1" applyAlignment="1">
      <alignment/>
    </xf>
    <xf numFmtId="9" fontId="2" fillId="0" borderId="0" xfId="0" applyNumberFormat="1" applyFont="1" applyAlignment="1">
      <alignment/>
    </xf>
    <xf numFmtId="0" fontId="2" fillId="0" borderId="17" xfId="0" applyFont="1" applyFill="1" applyBorder="1" applyAlignment="1">
      <alignment horizontal="right"/>
    </xf>
    <xf numFmtId="181" fontId="2" fillId="0" borderId="17" xfId="0" applyNumberFormat="1" applyFont="1" applyFill="1" applyBorder="1" applyAlignment="1">
      <alignment/>
    </xf>
    <xf numFmtId="181" fontId="2" fillId="0" borderId="14" xfId="0" applyNumberFormat="1" applyFont="1" applyFill="1" applyBorder="1" applyAlignment="1">
      <alignment/>
    </xf>
    <xf numFmtId="0" fontId="6" fillId="0" borderId="0" xfId="0" applyNumberFormat="1" applyFont="1" applyBorder="1" applyAlignment="1">
      <alignment horizontal="right"/>
    </xf>
    <xf numFmtId="184" fontId="2" fillId="0" borderId="0" xfId="0" applyNumberFormat="1" applyFont="1" applyAlignment="1">
      <alignment/>
    </xf>
    <xf numFmtId="0" fontId="17" fillId="0" borderId="0" xfId="0" applyFont="1" applyAlignment="1">
      <alignment/>
    </xf>
    <xf numFmtId="14" fontId="5" fillId="0" borderId="12" xfId="0" applyNumberFormat="1" applyFont="1" applyBorder="1" applyAlignment="1">
      <alignment horizontal="center"/>
    </xf>
    <xf numFmtId="0" fontId="5" fillId="0" borderId="29" xfId="0" applyFont="1" applyBorder="1" applyAlignment="1">
      <alignment horizontal="center"/>
    </xf>
    <xf numFmtId="0" fontId="17" fillId="0" borderId="0" xfId="0" applyFont="1" applyAlignment="1">
      <alignment horizontal="right"/>
    </xf>
    <xf numFmtId="0" fontId="2" fillId="0" borderId="0" xfId="0" applyFont="1" applyAlignment="1">
      <alignment horizontal="right"/>
    </xf>
    <xf numFmtId="37" fontId="6" fillId="0" borderId="0" xfId="0" applyNumberFormat="1" applyFont="1" applyAlignment="1">
      <alignment/>
    </xf>
    <xf numFmtId="0" fontId="5" fillId="0" borderId="30" xfId="0" applyFont="1" applyBorder="1" applyAlignment="1">
      <alignment/>
    </xf>
    <xf numFmtId="5" fontId="5" fillId="0" borderId="30" xfId="0" applyNumberFormat="1" applyFont="1" applyBorder="1" applyAlignment="1">
      <alignment/>
    </xf>
    <xf numFmtId="0" fontId="3" fillId="0" borderId="24" xfId="0" applyFont="1" applyBorder="1" applyAlignment="1">
      <alignment horizontal="center"/>
    </xf>
    <xf numFmtId="0" fontId="5" fillId="0" borderId="15" xfId="0" applyNumberFormat="1" applyFont="1" applyBorder="1" applyAlignment="1">
      <alignment horizontal="center"/>
    </xf>
    <xf numFmtId="0" fontId="18" fillId="0" borderId="0" xfId="0" applyFont="1" applyFill="1" applyBorder="1" applyAlignment="1">
      <alignment/>
    </xf>
    <xf numFmtId="0" fontId="18" fillId="0" borderId="10" xfId="0" applyFont="1" applyFill="1" applyBorder="1" applyAlignment="1">
      <alignment/>
    </xf>
    <xf numFmtId="5" fontId="19" fillId="0" borderId="17" xfId="0" applyNumberFormat="1" applyFont="1" applyBorder="1" applyAlignment="1">
      <alignment/>
    </xf>
    <xf numFmtId="164" fontId="19" fillId="0" borderId="17" xfId="60" applyNumberFormat="1" applyFont="1" applyBorder="1" applyAlignment="1">
      <alignment/>
    </xf>
    <xf numFmtId="0" fontId="19" fillId="0" borderId="0" xfId="0" applyFont="1" applyAlignment="1">
      <alignment/>
    </xf>
    <xf numFmtId="0" fontId="20" fillId="0" borderId="0" xfId="0" applyFont="1" applyFill="1" applyBorder="1" applyAlignment="1">
      <alignment/>
    </xf>
    <xf numFmtId="5" fontId="19" fillId="0" borderId="0" xfId="0" applyNumberFormat="1" applyFont="1" applyAlignment="1">
      <alignment/>
    </xf>
    <xf numFmtId="0" fontId="21" fillId="0" borderId="0" xfId="0" applyFont="1" applyAlignment="1">
      <alignment/>
    </xf>
    <xf numFmtId="0" fontId="2" fillId="0" borderId="26" xfId="0" applyFont="1" applyBorder="1" applyAlignment="1">
      <alignment/>
    </xf>
    <xf numFmtId="37" fontId="2" fillId="0" borderId="27" xfId="0" applyNumberFormat="1" applyFont="1" applyBorder="1" applyAlignment="1">
      <alignment/>
    </xf>
    <xf numFmtId="37" fontId="2" fillId="0" borderId="26" xfId="0" applyNumberFormat="1" applyFont="1" applyBorder="1" applyAlignment="1">
      <alignment/>
    </xf>
    <xf numFmtId="0" fontId="2" fillId="33" borderId="0" xfId="0" applyFont="1" applyFill="1" applyAlignment="1">
      <alignment/>
    </xf>
    <xf numFmtId="0" fontId="2" fillId="33" borderId="0" xfId="0" applyFont="1" applyFill="1" applyAlignment="1">
      <alignment horizontal="center"/>
    </xf>
    <xf numFmtId="0" fontId="5" fillId="0" borderId="0" xfId="0" applyFont="1" applyFill="1" applyAlignment="1">
      <alignment/>
    </xf>
    <xf numFmtId="0" fontId="2" fillId="0" borderId="0" xfId="0" applyFont="1" applyFill="1" applyAlignment="1">
      <alignment horizontal="center"/>
    </xf>
    <xf numFmtId="0" fontId="22" fillId="33" borderId="0" xfId="0" applyFont="1" applyFill="1" applyAlignment="1">
      <alignment/>
    </xf>
    <xf numFmtId="0" fontId="22" fillId="0" borderId="0" xfId="0" applyFont="1" applyFill="1" applyAlignment="1">
      <alignment/>
    </xf>
    <xf numFmtId="0" fontId="3" fillId="0" borderId="10" xfId="0" applyFont="1" applyFill="1" applyBorder="1" applyAlignment="1">
      <alignment/>
    </xf>
    <xf numFmtId="0" fontId="0" fillId="0" borderId="10" xfId="0" applyBorder="1" applyAlignment="1">
      <alignment/>
    </xf>
    <xf numFmtId="0" fontId="2" fillId="0" borderId="0" xfId="0" applyFont="1" applyAlignment="1" quotePrefix="1">
      <alignment/>
    </xf>
    <xf numFmtId="37" fontId="6" fillId="0" borderId="0" xfId="0" applyNumberFormat="1" applyFont="1" applyFill="1" applyAlignment="1">
      <alignment/>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3" fillId="34" borderId="0" xfId="0" applyFont="1" applyFill="1" applyBorder="1" applyAlignment="1">
      <alignment horizontal="centerContinuous"/>
    </xf>
    <xf numFmtId="0" fontId="14" fillId="0" borderId="0" xfId="0" applyFont="1" applyAlignment="1">
      <alignment horizontal="center"/>
    </xf>
    <xf numFmtId="0" fontId="14" fillId="0" borderId="17" xfId="0" applyFont="1" applyBorder="1" applyAlignment="1">
      <alignment horizontal="center"/>
    </xf>
    <xf numFmtId="7" fontId="6" fillId="0" borderId="0" xfId="0" applyNumberFormat="1" applyFont="1" applyAlignment="1">
      <alignment/>
    </xf>
    <xf numFmtId="185" fontId="2" fillId="0" borderId="12" xfId="42" applyNumberFormat="1" applyFont="1" applyBorder="1" applyAlignment="1">
      <alignment/>
    </xf>
    <xf numFmtId="0" fontId="14" fillId="0" borderId="0" xfId="0" applyFont="1" applyAlignment="1">
      <alignment horizontal="right"/>
    </xf>
    <xf numFmtId="37" fontId="2" fillId="0" borderId="12" xfId="0" applyNumberFormat="1" applyFont="1" applyBorder="1" applyAlignment="1">
      <alignment/>
    </xf>
    <xf numFmtId="5" fontId="5" fillId="0" borderId="0" xfId="0" applyNumberFormat="1" applyFont="1" applyBorder="1" applyAlignment="1">
      <alignment/>
    </xf>
    <xf numFmtId="0" fontId="2" fillId="0" borderId="0" xfId="0" applyFont="1" applyBorder="1" applyAlignment="1" quotePrefix="1">
      <alignment/>
    </xf>
    <xf numFmtId="0" fontId="24" fillId="0" borderId="31" xfId="0" applyFont="1" applyBorder="1" applyAlignment="1">
      <alignment/>
    </xf>
    <xf numFmtId="179" fontId="25" fillId="0" borderId="0" xfId="0" applyNumberFormat="1" applyFont="1" applyAlignment="1">
      <alignment/>
    </xf>
    <xf numFmtId="0" fontId="2" fillId="0" borderId="0" xfId="0" applyFont="1" applyAlignment="1">
      <alignment/>
    </xf>
    <xf numFmtId="179" fontId="6" fillId="0" borderId="0" xfId="0" applyNumberFormat="1" applyFont="1" applyAlignment="1">
      <alignment/>
    </xf>
    <xf numFmtId="179" fontId="2" fillId="0" borderId="0" xfId="0" applyNumberFormat="1" applyFont="1" applyBorder="1" applyAlignment="1">
      <alignment/>
    </xf>
    <xf numFmtId="0" fontId="5" fillId="0" borderId="17" xfId="0" applyFont="1" applyBorder="1" applyAlignment="1">
      <alignment horizontal="center"/>
    </xf>
    <xf numFmtId="181" fontId="2" fillId="0" borderId="0" xfId="0" applyNumberFormat="1" applyFont="1" applyAlignment="1">
      <alignment/>
    </xf>
    <xf numFmtId="168" fontId="2" fillId="0" borderId="22" xfId="0" applyNumberFormat="1" applyFont="1" applyFill="1" applyBorder="1" applyAlignment="1">
      <alignment horizontal="center"/>
    </xf>
    <xf numFmtId="168" fontId="2" fillId="0" borderId="17" xfId="0" applyNumberFormat="1" applyFont="1" applyBorder="1" applyAlignment="1">
      <alignment/>
    </xf>
    <xf numFmtId="179" fontId="2" fillId="0" borderId="17" xfId="0" applyNumberFormat="1" applyFont="1" applyBorder="1" applyAlignment="1">
      <alignment/>
    </xf>
    <xf numFmtId="37" fontId="26" fillId="0" borderId="0" xfId="0" applyNumberFormat="1" applyFont="1" applyBorder="1" applyAlignment="1">
      <alignment/>
    </xf>
    <xf numFmtId="0" fontId="25" fillId="0" borderId="0" xfId="0" applyFont="1" applyBorder="1" applyAlignment="1">
      <alignment/>
    </xf>
    <xf numFmtId="37" fontId="25" fillId="0" borderId="0" xfId="0" applyNumberFormat="1" applyFont="1" applyBorder="1" applyAlignment="1">
      <alignment/>
    </xf>
    <xf numFmtId="37" fontId="25" fillId="0" borderId="0" xfId="0" applyNumberFormat="1" applyFont="1" applyAlignment="1">
      <alignment/>
    </xf>
    <xf numFmtId="0" fontId="5" fillId="0" borderId="31" xfId="0" applyFont="1" applyBorder="1" applyAlignment="1">
      <alignment/>
    </xf>
    <xf numFmtId="168" fontId="5" fillId="0" borderId="0" xfId="0" applyNumberFormat="1" applyFont="1" applyAlignment="1">
      <alignment/>
    </xf>
    <xf numFmtId="168" fontId="2" fillId="0" borderId="0" xfId="0" applyNumberFormat="1" applyFont="1" applyAlignment="1">
      <alignment/>
    </xf>
    <xf numFmtId="0" fontId="2" fillId="0" borderId="17" xfId="0" applyFont="1" applyBorder="1" applyAlignment="1">
      <alignment/>
    </xf>
    <xf numFmtId="179" fontId="2" fillId="0" borderId="0" xfId="0" applyNumberFormat="1" applyFont="1" applyAlignment="1">
      <alignment/>
    </xf>
    <xf numFmtId="181" fontId="2" fillId="0" borderId="17" xfId="0" applyNumberFormat="1" applyFont="1" applyBorder="1" applyAlignment="1">
      <alignment/>
    </xf>
    <xf numFmtId="179" fontId="25" fillId="0" borderId="0" xfId="0" applyNumberFormat="1" applyFont="1" applyAlignment="1">
      <alignment/>
    </xf>
    <xf numFmtId="0" fontId="14" fillId="0" borderId="17" xfId="0" applyFont="1" applyBorder="1" applyAlignment="1">
      <alignment horizontal="right"/>
    </xf>
    <xf numFmtId="181" fontId="25" fillId="0" borderId="17" xfId="0" applyNumberFormat="1" applyFont="1" applyBorder="1" applyAlignment="1">
      <alignment/>
    </xf>
    <xf numFmtId="164" fontId="2" fillId="0" borderId="0" xfId="0" applyNumberFormat="1" applyFont="1" applyAlignment="1">
      <alignment/>
    </xf>
    <xf numFmtId="164" fontId="27" fillId="0" borderId="0" xfId="0" applyNumberFormat="1" applyFont="1" applyAlignment="1">
      <alignment/>
    </xf>
    <xf numFmtId="179" fontId="27" fillId="0" borderId="13" xfId="0" applyNumberFormat="1" applyFont="1" applyBorder="1" applyAlignment="1">
      <alignment/>
    </xf>
    <xf numFmtId="0" fontId="25" fillId="0" borderId="0" xfId="0" applyFont="1" applyAlignment="1">
      <alignment/>
    </xf>
    <xf numFmtId="168" fontId="2" fillId="0" borderId="16" xfId="0" applyNumberFormat="1" applyFont="1" applyBorder="1" applyAlignment="1">
      <alignment/>
    </xf>
    <xf numFmtId="179" fontId="2" fillId="0" borderId="14" xfId="0" applyNumberFormat="1" applyFont="1" applyBorder="1" applyAlignment="1">
      <alignment/>
    </xf>
    <xf numFmtId="0" fontId="2" fillId="0" borderId="30" xfId="0" applyFont="1" applyBorder="1" applyAlignment="1">
      <alignment/>
    </xf>
    <xf numFmtId="0" fontId="2" fillId="0" borderId="34" xfId="0" applyFont="1" applyBorder="1" applyAlignment="1">
      <alignment/>
    </xf>
    <xf numFmtId="168" fontId="2" fillId="0" borderId="30" xfId="0" applyNumberFormat="1" applyFont="1" applyBorder="1" applyAlignment="1">
      <alignment/>
    </xf>
    <xf numFmtId="0" fontId="24" fillId="0" borderId="0" xfId="0" applyFont="1" applyAlignment="1">
      <alignment/>
    </xf>
    <xf numFmtId="0" fontId="25" fillId="0" borderId="17" xfId="0" applyFont="1" applyBorder="1" applyAlignment="1">
      <alignment horizontal="right"/>
    </xf>
    <xf numFmtId="0" fontId="6" fillId="0" borderId="10" xfId="0" applyNumberFormat="1" applyFont="1" applyBorder="1" applyAlignment="1">
      <alignment horizontal="right"/>
    </xf>
    <xf numFmtId="10" fontId="2" fillId="0" borderId="17" xfId="60" applyNumberFormat="1" applyFont="1" applyBorder="1" applyAlignment="1">
      <alignment/>
    </xf>
    <xf numFmtId="10" fontId="2" fillId="0" borderId="0" xfId="60" applyNumberFormat="1" applyFont="1" applyAlignment="1">
      <alignment/>
    </xf>
    <xf numFmtId="10" fontId="6" fillId="0" borderId="0" xfId="60" applyNumberFormat="1" applyFont="1" applyAlignment="1">
      <alignment/>
    </xf>
    <xf numFmtId="10" fontId="6" fillId="0" borderId="0" xfId="60" applyNumberFormat="1" applyFont="1" applyAlignment="1">
      <alignment horizontal="right"/>
    </xf>
    <xf numFmtId="10" fontId="2" fillId="0" borderId="17" xfId="0" applyNumberFormat="1" applyFont="1" applyBorder="1" applyAlignment="1">
      <alignment/>
    </xf>
    <xf numFmtId="10" fontId="2" fillId="0" borderId="0" xfId="0" applyNumberFormat="1" applyFont="1" applyAlignment="1">
      <alignment/>
    </xf>
    <xf numFmtId="0" fontId="16" fillId="0" borderId="0" xfId="0" applyFont="1" applyAlignment="1">
      <alignment/>
    </xf>
    <xf numFmtId="10" fontId="6" fillId="0" borderId="0" xfId="0" applyNumberFormat="1" applyFont="1" applyAlignment="1">
      <alignment/>
    </xf>
    <xf numFmtId="0" fontId="25" fillId="0" borderId="0" xfId="0" applyFont="1" applyBorder="1" applyAlignment="1">
      <alignment horizontal="right"/>
    </xf>
    <xf numFmtId="10" fontId="2" fillId="0" borderId="0" xfId="0" applyNumberFormat="1" applyFont="1" applyBorder="1" applyAlignment="1">
      <alignment/>
    </xf>
    <xf numFmtId="0" fontId="28" fillId="0" borderId="0" xfId="0" applyFont="1" applyAlignment="1" quotePrefix="1">
      <alignment horizontal="left"/>
    </xf>
    <xf numFmtId="0" fontId="2" fillId="0" borderId="13" xfId="0" applyFont="1" applyBorder="1" applyAlignment="1" quotePrefix="1">
      <alignment horizontal="left"/>
    </xf>
    <xf numFmtId="0" fontId="2" fillId="0" borderId="14" xfId="0" applyFont="1" applyBorder="1" applyAlignment="1">
      <alignment/>
    </xf>
    <xf numFmtId="0" fontId="5" fillId="0" borderId="26" xfId="0" applyFont="1" applyBorder="1" applyAlignment="1">
      <alignment horizontal="left"/>
    </xf>
    <xf numFmtId="168" fontId="2" fillId="0" borderId="26" xfId="0" applyNumberFormat="1" applyFont="1" applyBorder="1" applyAlignment="1">
      <alignment/>
    </xf>
    <xf numFmtId="0" fontId="2" fillId="0" borderId="0" xfId="0" applyFont="1" applyBorder="1" applyAlignment="1" quotePrefix="1">
      <alignment horizontal="left"/>
    </xf>
    <xf numFmtId="0" fontId="28" fillId="0" borderId="0" xfId="0" applyFont="1" applyAlignment="1">
      <alignment horizontal="left"/>
    </xf>
    <xf numFmtId="0" fontId="28" fillId="0" borderId="10" xfId="0" applyFont="1" applyBorder="1" applyAlignment="1">
      <alignment horizontal="left"/>
    </xf>
    <xf numFmtId="0" fontId="2" fillId="0" borderId="18" xfId="0" applyFont="1" applyBorder="1" applyAlignment="1">
      <alignment/>
    </xf>
    <xf numFmtId="168" fontId="2" fillId="0" borderId="27" xfId="0" applyNumberFormat="1" applyFont="1" applyBorder="1" applyAlignment="1">
      <alignment/>
    </xf>
    <xf numFmtId="179" fontId="2" fillId="0" borderId="10" xfId="0" applyNumberFormat="1" applyFont="1" applyBorder="1" applyAlignment="1">
      <alignment/>
    </xf>
    <xf numFmtId="5" fontId="2" fillId="0" borderId="35" xfId="0" applyNumberFormat="1" applyFont="1" applyBorder="1" applyAlignment="1">
      <alignment/>
    </xf>
    <xf numFmtId="168" fontId="2" fillId="0" borderId="10" xfId="60" applyNumberFormat="1" applyFont="1" applyBorder="1" applyAlignment="1">
      <alignment/>
    </xf>
    <xf numFmtId="168" fontId="2" fillId="0" borderId="18" xfId="60" applyNumberFormat="1" applyFont="1" applyBorder="1" applyAlignment="1">
      <alignment/>
    </xf>
    <xf numFmtId="168" fontId="2" fillId="0" borderId="0" xfId="0" applyNumberFormat="1" applyFont="1" applyFill="1" applyAlignment="1">
      <alignment/>
    </xf>
    <xf numFmtId="168" fontId="2" fillId="0" borderId="10" xfId="0" applyNumberFormat="1" applyFont="1" applyFill="1" applyBorder="1" applyAlignment="1">
      <alignment/>
    </xf>
    <xf numFmtId="169" fontId="2" fillId="0" borderId="0" xfId="0" applyNumberFormat="1" applyFont="1" applyFill="1" applyAlignment="1">
      <alignment/>
    </xf>
    <xf numFmtId="0" fontId="5" fillId="0" borderId="16" xfId="0" applyNumberFormat="1" applyFont="1" applyBorder="1" applyAlignment="1">
      <alignment horizontal="right"/>
    </xf>
    <xf numFmtId="168" fontId="2" fillId="0" borderId="17" xfId="0" applyNumberFormat="1" applyFont="1" applyFill="1" applyBorder="1" applyAlignment="1">
      <alignment/>
    </xf>
    <xf numFmtId="168" fontId="2" fillId="0" borderId="18" xfId="0" applyNumberFormat="1" applyFont="1" applyFill="1" applyBorder="1" applyAlignment="1">
      <alignment/>
    </xf>
    <xf numFmtId="168" fontId="27" fillId="0" borderId="0" xfId="0" applyNumberFormat="1" applyFont="1" applyAlignment="1">
      <alignment/>
    </xf>
    <xf numFmtId="0" fontId="28" fillId="0" borderId="0" xfId="0" applyFont="1" applyAlignment="1">
      <alignment/>
    </xf>
    <xf numFmtId="164" fontId="2" fillId="0" borderId="13" xfId="60" applyNumberFormat="1" applyFont="1" applyBorder="1" applyAlignment="1">
      <alignment/>
    </xf>
    <xf numFmtId="179" fontId="2" fillId="0" borderId="0" xfId="0" applyNumberFormat="1" applyFont="1" applyFill="1" applyAlignment="1">
      <alignment/>
    </xf>
    <xf numFmtId="179" fontId="2" fillId="0" borderId="13" xfId="0" applyNumberFormat="1" applyFont="1" applyFill="1" applyBorder="1" applyAlignment="1">
      <alignment/>
    </xf>
    <xf numFmtId="0" fontId="28" fillId="0" borderId="13" xfId="0" applyFont="1" applyBorder="1" applyAlignment="1">
      <alignment/>
    </xf>
    <xf numFmtId="179" fontId="6" fillId="0" borderId="0" xfId="0" applyNumberFormat="1" applyFont="1" applyBorder="1" applyAlignment="1">
      <alignment/>
    </xf>
    <xf numFmtId="181" fontId="6" fillId="0" borderId="0" xfId="0" applyNumberFormat="1" applyFont="1" applyAlignment="1">
      <alignment horizontal="center"/>
    </xf>
    <xf numFmtId="181" fontId="2" fillId="0" borderId="0" xfId="0" applyNumberFormat="1" applyFont="1" applyAlignment="1">
      <alignment horizontal="center"/>
    </xf>
    <xf numFmtId="0" fontId="5" fillId="0" borderId="10" xfId="0" applyFont="1" applyBorder="1" applyAlignment="1">
      <alignment horizontal="center"/>
    </xf>
    <xf numFmtId="0" fontId="5" fillId="0" borderId="10" xfId="0" applyFont="1" applyBorder="1" applyAlignment="1">
      <alignment horizontal="right"/>
    </xf>
    <xf numFmtId="181" fontId="2" fillId="0" borderId="10" xfId="0" applyNumberFormat="1" applyFont="1" applyBorder="1" applyAlignment="1">
      <alignment horizontal="center"/>
    </xf>
    <xf numFmtId="1" fontId="5" fillId="0" borderId="0" xfId="57" applyNumberFormat="1" applyFont="1" applyBorder="1" applyAlignment="1" applyProtection="1">
      <alignment horizontal="right"/>
      <protection/>
    </xf>
    <xf numFmtId="187" fontId="2" fillId="0" borderId="0" xfId="0" applyNumberFormat="1" applyFont="1" applyBorder="1" applyAlignment="1">
      <alignment/>
    </xf>
    <xf numFmtId="188" fontId="28" fillId="0" borderId="0" xfId="57" applyNumberFormat="1" applyFont="1" applyBorder="1" applyAlignment="1">
      <alignment horizontal="right"/>
      <protection/>
    </xf>
    <xf numFmtId="188" fontId="28" fillId="0" borderId="0" xfId="57" applyNumberFormat="1" applyFont="1" applyFill="1" applyBorder="1" applyAlignment="1">
      <alignment horizontal="right"/>
      <protection/>
    </xf>
    <xf numFmtId="188" fontId="2" fillId="0" borderId="0" xfId="0" applyNumberFormat="1" applyFont="1" applyBorder="1" applyAlignment="1">
      <alignment/>
    </xf>
    <xf numFmtId="164" fontId="2" fillId="0" borderId="0" xfId="60" applyNumberFormat="1" applyFont="1" applyBorder="1" applyAlignment="1" applyProtection="1">
      <alignment horizontal="right"/>
      <protection/>
    </xf>
    <xf numFmtId="189" fontId="28" fillId="0" borderId="0" xfId="57" applyNumberFormat="1" applyFont="1" applyBorder="1" applyAlignment="1">
      <alignment horizontal="right"/>
      <protection/>
    </xf>
    <xf numFmtId="189" fontId="28" fillId="0" borderId="0" xfId="57" applyNumberFormat="1" applyFont="1" applyFill="1" applyBorder="1" applyAlignment="1">
      <alignment horizontal="right"/>
      <protection/>
    </xf>
    <xf numFmtId="189" fontId="2" fillId="0" borderId="0" xfId="0" applyNumberFormat="1" applyFont="1" applyBorder="1" applyAlignment="1">
      <alignment/>
    </xf>
    <xf numFmtId="0" fontId="5" fillId="0" borderId="0" xfId="0" applyFont="1" applyBorder="1" applyAlignment="1">
      <alignment horizontal="right"/>
    </xf>
    <xf numFmtId="1" fontId="30" fillId="0" borderId="10" xfId="57" applyNumberFormat="1" applyFont="1" applyBorder="1" applyAlignment="1" applyProtection="1">
      <alignment horizontal="right"/>
      <protection locked="0"/>
    </xf>
    <xf numFmtId="1" fontId="30" fillId="0" borderId="10" xfId="57" applyNumberFormat="1" applyFont="1" applyFill="1" applyBorder="1" applyAlignment="1" applyProtection="1">
      <alignment horizontal="right"/>
      <protection locked="0"/>
    </xf>
    <xf numFmtId="186" fontId="25" fillId="0" borderId="10" xfId="57" applyNumberFormat="1" applyFont="1" applyBorder="1" applyProtection="1">
      <alignment/>
      <protection/>
    </xf>
    <xf numFmtId="187" fontId="2" fillId="0" borderId="10" xfId="0" applyNumberFormat="1" applyFont="1" applyBorder="1" applyAlignment="1">
      <alignment/>
    </xf>
    <xf numFmtId="189" fontId="28" fillId="0" borderId="10" xfId="57" applyNumberFormat="1" applyFont="1" applyBorder="1" applyAlignment="1">
      <alignment horizontal="right"/>
      <protection/>
    </xf>
    <xf numFmtId="189" fontId="28" fillId="0" borderId="10" xfId="57" applyNumberFormat="1" applyFont="1" applyFill="1" applyBorder="1" applyAlignment="1">
      <alignment horizontal="right"/>
      <protection/>
    </xf>
    <xf numFmtId="188" fontId="2" fillId="0" borderId="10" xfId="0" applyNumberFormat="1" applyFont="1" applyBorder="1" applyAlignment="1">
      <alignment/>
    </xf>
    <xf numFmtId="164" fontId="2" fillId="0" borderId="10" xfId="60" applyNumberFormat="1" applyFont="1" applyBorder="1" applyAlignment="1" applyProtection="1">
      <alignment horizontal="right"/>
      <protection/>
    </xf>
    <xf numFmtId="189" fontId="2" fillId="0" borderId="10" xfId="0" applyNumberFormat="1" applyFont="1" applyBorder="1" applyAlignment="1">
      <alignment/>
    </xf>
    <xf numFmtId="188" fontId="6" fillId="0" borderId="0" xfId="57" applyNumberFormat="1" applyFont="1" applyBorder="1" applyAlignment="1">
      <alignment horizontal="right"/>
      <protection/>
    </xf>
    <xf numFmtId="189" fontId="6" fillId="0" borderId="0" xfId="57" applyNumberFormat="1" applyFont="1" applyBorder="1" applyAlignment="1">
      <alignment horizontal="right"/>
      <protection/>
    </xf>
    <xf numFmtId="189" fontId="6" fillId="0" borderId="10" xfId="57" applyNumberFormat="1" applyFont="1" applyBorder="1" applyAlignment="1">
      <alignment horizontal="right"/>
      <protection/>
    </xf>
    <xf numFmtId="0" fontId="5" fillId="0" borderId="0" xfId="0" applyFont="1" applyAlignment="1">
      <alignment horizontal="right"/>
    </xf>
    <xf numFmtId="0" fontId="5" fillId="0" borderId="17" xfId="0" applyFont="1" applyBorder="1" applyAlignment="1">
      <alignment horizontal="right"/>
    </xf>
    <xf numFmtId="164" fontId="25" fillId="0" borderId="0" xfId="60" applyNumberFormat="1" applyFont="1" applyAlignment="1">
      <alignment/>
    </xf>
    <xf numFmtId="164" fontId="25" fillId="0" borderId="17" xfId="60" applyNumberFormat="1" applyFont="1" applyBorder="1" applyAlignment="1">
      <alignment/>
    </xf>
    <xf numFmtId="168" fontId="6" fillId="0" borderId="0" xfId="0" applyNumberFormat="1" applyFont="1" applyAlignment="1">
      <alignment/>
    </xf>
    <xf numFmtId="0" fontId="5" fillId="0" borderId="0" xfId="0" applyFont="1" applyFill="1" applyAlignment="1">
      <alignment horizontal="center"/>
    </xf>
    <xf numFmtId="0" fontId="5" fillId="0" borderId="10" xfId="0" applyFont="1" applyFill="1" applyBorder="1" applyAlignment="1">
      <alignment horizontal="center"/>
    </xf>
    <xf numFmtId="179" fontId="2" fillId="0" borderId="10" xfId="0" applyNumberFormat="1" applyFont="1" applyFill="1" applyBorder="1" applyAlignment="1">
      <alignment/>
    </xf>
    <xf numFmtId="164" fontId="2" fillId="0" borderId="0" xfId="60" applyNumberFormat="1" applyFont="1" applyFill="1" applyAlignment="1">
      <alignment/>
    </xf>
    <xf numFmtId="164" fontId="2" fillId="0" borderId="10" xfId="60" applyNumberFormat="1" applyFont="1" applyFill="1" applyBorder="1" applyAlignment="1">
      <alignment/>
    </xf>
    <xf numFmtId="0" fontId="2" fillId="0" borderId="13" xfId="0" applyFont="1" applyBorder="1" applyAlignment="1">
      <alignment horizontal="centerContinuous"/>
    </xf>
    <xf numFmtId="0" fontId="14" fillId="0" borderId="0" xfId="0" applyFont="1" applyAlignment="1" quotePrefix="1">
      <alignment horizontal="center"/>
    </xf>
    <xf numFmtId="181" fontId="2" fillId="0" borderId="0" xfId="0" applyNumberFormat="1" applyFont="1" applyBorder="1" applyAlignment="1">
      <alignment/>
    </xf>
    <xf numFmtId="181" fontId="2" fillId="0" borderId="0" xfId="0" applyNumberFormat="1" applyFont="1" applyBorder="1" applyAlignment="1">
      <alignment horizontal="center"/>
    </xf>
    <xf numFmtId="181" fontId="2" fillId="0" borderId="12" xfId="0" applyNumberFormat="1" applyFont="1" applyBorder="1" applyAlignment="1">
      <alignment horizontal="center"/>
    </xf>
    <xf numFmtId="0" fontId="5" fillId="0" borderId="0" xfId="0" applyFont="1" applyBorder="1" applyAlignment="1">
      <alignment horizontal="center"/>
    </xf>
    <xf numFmtId="179" fontId="2" fillId="0" borderId="12" xfId="0" applyNumberFormat="1" applyFont="1" applyBorder="1" applyAlignment="1">
      <alignment/>
    </xf>
    <xf numFmtId="164" fontId="2" fillId="0" borderId="12" xfId="60" applyNumberFormat="1" applyFont="1" applyBorder="1" applyAlignment="1">
      <alignment horizontal="center"/>
    </xf>
    <xf numFmtId="181" fontId="2" fillId="0" borderId="21" xfId="0" applyNumberFormat="1" applyFont="1" applyBorder="1" applyAlignment="1">
      <alignment horizontal="center"/>
    </xf>
    <xf numFmtId="164" fontId="2" fillId="0" borderId="20" xfId="60" applyNumberFormat="1" applyFont="1" applyBorder="1" applyAlignment="1">
      <alignment horizontal="center"/>
    </xf>
    <xf numFmtId="179" fontId="2" fillId="0" borderId="20" xfId="0" applyNumberFormat="1" applyFont="1" applyBorder="1" applyAlignment="1">
      <alignment/>
    </xf>
    <xf numFmtId="179" fontId="2" fillId="0" borderId="36" xfId="0" applyNumberFormat="1" applyFont="1" applyBorder="1" applyAlignment="1">
      <alignment/>
    </xf>
    <xf numFmtId="0" fontId="23" fillId="34" borderId="21" xfId="0" applyFont="1" applyFill="1" applyBorder="1" applyAlignment="1">
      <alignment horizontal="centerContinuous"/>
    </xf>
    <xf numFmtId="0" fontId="5" fillId="34" borderId="20" xfId="0" applyFont="1" applyFill="1" applyBorder="1" applyAlignment="1">
      <alignment horizontal="centerContinuous"/>
    </xf>
    <xf numFmtId="0" fontId="5" fillId="34" borderId="36" xfId="0" applyFont="1" applyFill="1" applyBorder="1" applyAlignment="1">
      <alignment horizontal="centerContinuous"/>
    </xf>
    <xf numFmtId="0" fontId="23" fillId="34" borderId="36" xfId="0" applyFont="1" applyFill="1" applyBorder="1" applyAlignment="1">
      <alignment horizontal="centerContinuous"/>
    </xf>
    <xf numFmtId="0" fontId="23" fillId="34" borderId="20" xfId="0" applyFont="1" applyFill="1" applyBorder="1" applyAlignment="1">
      <alignment horizontal="centerContinuous"/>
    </xf>
    <xf numFmtId="0" fontId="14" fillId="34" borderId="20" xfId="0" applyFont="1" applyFill="1" applyBorder="1" applyAlignment="1">
      <alignment horizontal="centerContinuous"/>
    </xf>
    <xf numFmtId="0" fontId="14" fillId="34" borderId="36" xfId="0" applyFont="1" applyFill="1" applyBorder="1" applyAlignment="1">
      <alignment horizontal="centerContinuous"/>
    </xf>
    <xf numFmtId="0" fontId="2" fillId="0" borderId="10" xfId="0" applyFont="1" applyBorder="1" applyAlignment="1" quotePrefix="1">
      <alignment/>
    </xf>
    <xf numFmtId="168" fontId="5" fillId="0" borderId="10" xfId="0" applyNumberFormat="1" applyFont="1" applyBorder="1" applyAlignment="1">
      <alignment/>
    </xf>
    <xf numFmtId="181" fontId="2" fillId="0" borderId="10" xfId="0" applyNumberFormat="1" applyFont="1" applyBorder="1" applyAlignment="1">
      <alignment/>
    </xf>
    <xf numFmtId="164" fontId="2" fillId="0" borderId="17" xfId="60" applyNumberFormat="1" applyFont="1" applyBorder="1" applyAlignment="1">
      <alignment horizontal="center"/>
    </xf>
    <xf numFmtId="10" fontId="2" fillId="0" borderId="17" xfId="0" applyNumberFormat="1" applyFont="1" applyBorder="1" applyAlignment="1">
      <alignment horizontal="center"/>
    </xf>
    <xf numFmtId="5" fontId="0" fillId="0" borderId="0" xfId="0" applyNumberFormat="1" applyAlignment="1">
      <alignment/>
    </xf>
    <xf numFmtId="168" fontId="5" fillId="0" borderId="0" xfId="0" applyNumberFormat="1" applyFont="1" applyBorder="1" applyAlignment="1">
      <alignment/>
    </xf>
    <xf numFmtId="0" fontId="5" fillId="0" borderId="13" xfId="0" applyFont="1" applyBorder="1" applyAlignment="1">
      <alignment/>
    </xf>
    <xf numFmtId="168" fontId="5" fillId="0" borderId="13" xfId="0" applyNumberFormat="1" applyFont="1" applyBorder="1" applyAlignment="1">
      <alignment/>
    </xf>
    <xf numFmtId="181" fontId="2" fillId="0" borderId="13" xfId="0" applyNumberFormat="1" applyFont="1" applyBorder="1" applyAlignment="1">
      <alignment/>
    </xf>
    <xf numFmtId="0" fontId="3" fillId="0" borderId="0" xfId="0" applyFont="1" applyBorder="1" applyAlignment="1">
      <alignment/>
    </xf>
    <xf numFmtId="178" fontId="2" fillId="0" borderId="0" xfId="0" applyNumberFormat="1" applyFont="1" applyAlignment="1">
      <alignment horizontal="center"/>
    </xf>
    <xf numFmtId="178" fontId="5" fillId="0" borderId="0" xfId="0" applyNumberFormat="1" applyFont="1" applyAlignment="1">
      <alignment horizontal="center"/>
    </xf>
    <xf numFmtId="178" fontId="2" fillId="0" borderId="13" xfId="0" applyNumberFormat="1" applyFont="1" applyBorder="1" applyAlignment="1">
      <alignment horizontal="center"/>
    </xf>
    <xf numFmtId="5" fontId="2" fillId="0" borderId="26" xfId="0" applyNumberFormat="1" applyFont="1" applyBorder="1" applyAlignment="1">
      <alignment/>
    </xf>
    <xf numFmtId="178" fontId="2" fillId="0" borderId="26" xfId="0" applyNumberFormat="1" applyFont="1" applyBorder="1" applyAlignment="1">
      <alignment horizontal="center"/>
    </xf>
    <xf numFmtId="5" fontId="2" fillId="0" borderId="30" xfId="0" applyNumberFormat="1" applyFont="1" applyBorder="1" applyAlignment="1">
      <alignment/>
    </xf>
    <xf numFmtId="178" fontId="2" fillId="0" borderId="30" xfId="0" applyNumberFormat="1" applyFont="1" applyBorder="1" applyAlignment="1">
      <alignment horizontal="center"/>
    </xf>
    <xf numFmtId="168" fontId="2" fillId="0" borderId="0" xfId="60" applyNumberFormat="1" applyFont="1" applyAlignment="1">
      <alignment/>
    </xf>
    <xf numFmtId="5" fontId="2" fillId="0" borderId="0" xfId="60" applyNumberFormat="1" applyFont="1" applyAlignment="1">
      <alignment/>
    </xf>
    <xf numFmtId="0" fontId="5" fillId="0" borderId="12" xfId="0" applyFont="1" applyBorder="1" applyAlignment="1">
      <alignment horizontal="right"/>
    </xf>
    <xf numFmtId="37" fontId="2" fillId="0" borderId="13" xfId="60" applyNumberFormat="1" applyFont="1" applyBorder="1" applyAlignment="1">
      <alignment/>
    </xf>
    <xf numFmtId="0" fontId="8" fillId="0" borderId="10" xfId="0" applyFont="1" applyBorder="1" applyAlignment="1">
      <alignment/>
    </xf>
    <xf numFmtId="168" fontId="2" fillId="0" borderId="0" xfId="0" applyNumberFormat="1" applyFont="1" applyFill="1" applyBorder="1" applyAlignment="1">
      <alignment horizontal="center"/>
    </xf>
    <xf numFmtId="168" fontId="68" fillId="0" borderId="22" xfId="0"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amilyChrist48"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142875</xdr:rowOff>
    </xdr:from>
    <xdr:to>
      <xdr:col>8</xdr:col>
      <xdr:colOff>466725</xdr:colOff>
      <xdr:row>22</xdr:row>
      <xdr:rowOff>19050</xdr:rowOff>
    </xdr:to>
    <xdr:sp>
      <xdr:nvSpPr>
        <xdr:cNvPr id="1" name="Text Box 1"/>
        <xdr:cNvSpPr txBox="1">
          <a:spLocks noChangeArrowheads="1"/>
        </xdr:cNvSpPr>
      </xdr:nvSpPr>
      <xdr:spPr>
        <a:xfrm>
          <a:off x="295275" y="142875"/>
          <a:ext cx="5048250" cy="3438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spreadsheet exhibits relate to the case </a:t>
          </a:r>
          <a:r>
            <a:rPr lang="en-US" cap="none" sz="1000" b="0" i="1" u="none" baseline="0">
              <a:solidFill>
                <a:srgbClr val="000000"/>
              </a:solidFill>
              <a:latin typeface="Arial"/>
              <a:ea typeface="Arial"/>
              <a:cs typeface="Arial"/>
            </a:rPr>
            <a:t>The Toys “R” Us LBO</a:t>
          </a:r>
          <a:r>
            <a:rPr lang="en-US" cap="none" sz="1000" b="0" i="0" u="none" baseline="0">
              <a:solidFill>
                <a:srgbClr val="000000"/>
              </a:solidFill>
              <a:latin typeface="Arial"/>
              <a:ea typeface="Arial"/>
              <a:cs typeface="Arial"/>
            </a:rPr>
            <a:t>, Case #5-107-002.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©2007 by the Kellogg School of Management, Northwestern University. This case was prepared by Professor David Stowell. Cases are developed solely as the basis for class discussion. Cases are not intended to serve as endorsements, sources of primary data, or illustrations of effective or ineffective management. To order copies or request permission to reproduce materials, call 847-491-5400 or e-mail cases@kellogg.northwestern.edu. No part of this publication may be reproduced, stored in a retrieval system, used in a spreadsheet, or transmitted in any form or by any means—electronic, mechanical, photocopying, recording, or otherwise—without the permission of the Kellogg School of Management.</a:t>
          </a:r>
        </a:p>
      </xdr:txBody>
    </xdr:sp>
    <xdr:clientData/>
  </xdr:twoCellAnchor>
  <xdr:twoCellAnchor editAs="oneCell">
    <xdr:from>
      <xdr:col>0</xdr:col>
      <xdr:colOff>400050</xdr:colOff>
      <xdr:row>1</xdr:row>
      <xdr:rowOff>123825</xdr:rowOff>
    </xdr:from>
    <xdr:to>
      <xdr:col>5</xdr:col>
      <xdr:colOff>123825</xdr:colOff>
      <xdr:row>6</xdr:row>
      <xdr:rowOff>85725</xdr:rowOff>
    </xdr:to>
    <xdr:pic>
      <xdr:nvPicPr>
        <xdr:cNvPr id="2" name="Picture 2" descr="Kellogg_logo_01_300dpi_bw"/>
        <xdr:cNvPicPr preferRelativeResize="1">
          <a:picLocks noChangeAspect="1"/>
        </xdr:cNvPicPr>
      </xdr:nvPicPr>
      <xdr:blipFill>
        <a:blip r:embed="rId1"/>
        <a:stretch>
          <a:fillRect/>
        </a:stretch>
      </xdr:blipFill>
      <xdr:spPr>
        <a:xfrm>
          <a:off x="400050" y="285750"/>
          <a:ext cx="27717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N64"/>
  <sheetViews>
    <sheetView showGridLines="0" zoomScalePageLayoutView="0" workbookViewId="0" topLeftCell="A1">
      <selection activeCell="A1" sqref="A1"/>
    </sheetView>
  </sheetViews>
  <sheetFormatPr defaultColWidth="10.7109375" defaultRowHeight="12.75"/>
  <cols>
    <col min="1" max="16384" width="10.7109375" style="1" customWidth="1"/>
  </cols>
  <sheetData>
    <row r="2" ht="13.5">
      <c r="B2" s="50" t="s">
        <v>38</v>
      </c>
    </row>
    <row r="3" ht="12.75">
      <c r="B3" s="5" t="str">
        <f>'Case Manager'!$K$5</f>
        <v>($ in millions)</v>
      </c>
    </row>
    <row r="4" ht="12.75">
      <c r="B4" s="5"/>
    </row>
    <row r="5" ht="13.5">
      <c r="B5" s="50" t="s">
        <v>32</v>
      </c>
    </row>
    <row r="6" spans="2:14" ht="14.25" thickBot="1">
      <c r="B6" s="3"/>
      <c r="C6" s="4"/>
      <c r="D6" s="4"/>
      <c r="E6" s="4"/>
      <c r="F6" s="4"/>
      <c r="G6" s="4"/>
      <c r="H6" s="4"/>
      <c r="I6" s="4"/>
      <c r="J6" s="4"/>
      <c r="K6" s="4"/>
      <c r="L6" s="4"/>
      <c r="M6" s="4"/>
      <c r="N6" s="4"/>
    </row>
    <row r="7" spans="2:14" ht="13.5">
      <c r="B7" s="5" t="str">
        <f>'Case Manager'!$K$6</f>
        <v>For the FYE January 31</v>
      </c>
      <c r="F7" s="12" t="str">
        <f>'Consolidated Financial Results'!$F$7</f>
        <v>Actual</v>
      </c>
      <c r="G7" s="13"/>
      <c r="H7" s="53"/>
      <c r="I7" s="12" t="str">
        <f>'Consolidated Financial Results'!$I$7</f>
        <v>Projected</v>
      </c>
      <c r="J7" s="12"/>
      <c r="K7" s="12"/>
      <c r="L7" s="13"/>
      <c r="M7" s="6"/>
      <c r="N7" s="33"/>
    </row>
    <row r="8" spans="2:14" ht="12.75">
      <c r="B8" s="7"/>
      <c r="C8" s="7"/>
      <c r="D8" s="7"/>
      <c r="E8" s="7"/>
      <c r="F8" s="15">
        <f>'Consolidated Financial Results'!$F$8</f>
        <v>2003</v>
      </c>
      <c r="G8" s="15">
        <f>'Consolidated Financial Results'!$G$8</f>
        <v>2004</v>
      </c>
      <c r="H8" s="16">
        <f>'Consolidated Financial Results'!$H$8</f>
        <v>2005</v>
      </c>
      <c r="I8" s="15">
        <f>'Consolidated Financial Results'!$I$8</f>
        <v>2006</v>
      </c>
      <c r="J8" s="15">
        <f>'Consolidated Financial Results'!$J$8</f>
        <v>2007</v>
      </c>
      <c r="K8" s="15">
        <f>'Consolidated Financial Results'!$K$8</f>
        <v>2008</v>
      </c>
      <c r="L8" s="15">
        <f>'Consolidated Financial Results'!$L$8</f>
        <v>2009</v>
      </c>
      <c r="M8" s="32">
        <f>'Consolidated Financial Results'!$M$8</f>
        <v>2010</v>
      </c>
      <c r="N8" s="34"/>
    </row>
    <row r="9" spans="2:13" ht="12.75">
      <c r="B9" s="1" t="str">
        <f>'Case Manager'!$B$59</f>
        <v>Base Case</v>
      </c>
      <c r="F9" s="51"/>
      <c r="G9" s="51"/>
      <c r="H9" s="54"/>
      <c r="I9" s="60">
        <v>0</v>
      </c>
      <c r="J9" s="60">
        <v>0</v>
      </c>
      <c r="K9" s="60">
        <v>0</v>
      </c>
      <c r="L9" s="60">
        <v>0</v>
      </c>
      <c r="M9" s="60">
        <v>0</v>
      </c>
    </row>
    <row r="10" spans="2:13" ht="12.75">
      <c r="B10" s="1" t="str">
        <f>'Case Manager'!$B$60</f>
        <v>Upside Case</v>
      </c>
      <c r="F10" s="51"/>
      <c r="G10" s="51"/>
      <c r="H10" s="54"/>
      <c r="I10" s="60">
        <v>0</v>
      </c>
      <c r="J10" s="60">
        <v>0</v>
      </c>
      <c r="K10" s="60">
        <v>0</v>
      </c>
      <c r="L10" s="60">
        <v>0</v>
      </c>
      <c r="M10" s="60">
        <v>0</v>
      </c>
    </row>
    <row r="11" spans="2:13" ht="12.75">
      <c r="B11" s="1" t="str">
        <f>'Case Manager'!$B$61</f>
        <v>Downside Case</v>
      </c>
      <c r="F11" s="51"/>
      <c r="G11" s="51"/>
      <c r="H11" s="54"/>
      <c r="I11" s="60">
        <v>0</v>
      </c>
      <c r="J11" s="60">
        <v>0</v>
      </c>
      <c r="K11" s="60">
        <v>0</v>
      </c>
      <c r="L11" s="60">
        <v>0</v>
      </c>
      <c r="M11" s="60">
        <v>0</v>
      </c>
    </row>
    <row r="12" spans="2:13" ht="12.75">
      <c r="B12" s="1" t="str">
        <f>'Case Manager'!$B$62</f>
        <v>Open Case #1</v>
      </c>
      <c r="F12" s="51"/>
      <c r="G12" s="51"/>
      <c r="H12" s="54"/>
      <c r="I12" s="60">
        <v>0</v>
      </c>
      <c r="J12" s="60">
        <v>0</v>
      </c>
      <c r="K12" s="60">
        <v>0</v>
      </c>
      <c r="L12" s="60">
        <v>0</v>
      </c>
      <c r="M12" s="60">
        <v>0</v>
      </c>
    </row>
    <row r="13" spans="2:14" ht="12.75">
      <c r="B13" s="10" t="str">
        <f>'Case Manager'!$B$63</f>
        <v>Open Case #2</v>
      </c>
      <c r="C13" s="10"/>
      <c r="D13" s="10"/>
      <c r="E13" s="10"/>
      <c r="F13" s="52"/>
      <c r="G13" s="52"/>
      <c r="H13" s="55"/>
      <c r="I13" s="61">
        <v>0</v>
      </c>
      <c r="J13" s="61">
        <v>0</v>
      </c>
      <c r="K13" s="61">
        <v>0</v>
      </c>
      <c r="L13" s="61">
        <v>0</v>
      </c>
      <c r="M13" s="61">
        <v>0</v>
      </c>
      <c r="N13" s="10"/>
    </row>
    <row r="14" spans="2:13" ht="12.75">
      <c r="B14" s="1" t="str">
        <f>CHOOSE('Case Manager'!$G$65,'Babies R Us'!B9,'Babies R Us'!B10,'Babies R Us'!B11,'Babies R Us'!B12,'Babies R Us'!B13)</f>
        <v>Base Case</v>
      </c>
      <c r="F14" s="9"/>
      <c r="G14" s="9">
        <f>G16/F16-1</f>
        <v>0.08965517241379306</v>
      </c>
      <c r="H14" s="27">
        <f>H16/G16-1</f>
        <v>0.07192174913693905</v>
      </c>
      <c r="I14" s="9">
        <f>CHOOSE('Case Manager'!$G$65,'Babies R Us'!I9,'Babies R Us'!I10,'Babies R Us'!I11,'Babies R Us'!I12,'Babies R Us'!I13)</f>
        <v>0</v>
      </c>
      <c r="J14" s="9">
        <f>CHOOSE('Case Manager'!$G$65,'Babies R Us'!J9,'Babies R Us'!J10,'Babies R Us'!J11,'Babies R Us'!J12,'Babies R Us'!J13)</f>
        <v>0</v>
      </c>
      <c r="K14" s="9">
        <f>CHOOSE('Case Manager'!$G$65,'Babies R Us'!K9,'Babies R Us'!K10,'Babies R Us'!K11,'Babies R Us'!K12,'Babies R Us'!K13)</f>
        <v>0</v>
      </c>
      <c r="L14" s="9">
        <f>CHOOSE('Case Manager'!$G$65,'Babies R Us'!L9,'Babies R Us'!L10,'Babies R Us'!L11,'Babies R Us'!L12,'Babies R Us'!L13)</f>
        <v>0</v>
      </c>
      <c r="M14" s="9">
        <f>CHOOSE('Case Manager'!$G$65,'Babies R Us'!M9,'Babies R Us'!M10,'Babies R Us'!M11,'Babies R Us'!M12,'Babies R Us'!M13)</f>
        <v>0</v>
      </c>
    </row>
    <row r="15" spans="6:13" ht="12.75">
      <c r="F15" s="9"/>
      <c r="G15" s="9"/>
      <c r="H15" s="27"/>
      <c r="I15" s="9"/>
      <c r="J15" s="9"/>
      <c r="K15" s="9"/>
      <c r="L15" s="9"/>
      <c r="M15" s="9"/>
    </row>
    <row r="16" spans="2:14" ht="13.5" thickBot="1">
      <c r="B16" s="58" t="s">
        <v>31</v>
      </c>
      <c r="C16" s="4"/>
      <c r="D16" s="4"/>
      <c r="E16" s="4"/>
      <c r="F16" s="56">
        <v>1595</v>
      </c>
      <c r="G16" s="56">
        <v>1738</v>
      </c>
      <c r="H16" s="59">
        <v>1863</v>
      </c>
      <c r="I16" s="57">
        <f>H16*(1+I14)</f>
        <v>1863</v>
      </c>
      <c r="J16" s="57">
        <f>I16*(1+J14)</f>
        <v>1863</v>
      </c>
      <c r="K16" s="57">
        <f>J16*(1+K14)</f>
        <v>1863</v>
      </c>
      <c r="L16" s="57">
        <f>K16*(1+L14)</f>
        <v>1863</v>
      </c>
      <c r="M16" s="57">
        <f>L16*(1+M14)</f>
        <v>1863</v>
      </c>
      <c r="N16" s="4"/>
    </row>
    <row r="17" ht="12.75">
      <c r="B17" s="5"/>
    </row>
    <row r="18" ht="13.5">
      <c r="B18" s="50" t="s">
        <v>33</v>
      </c>
    </row>
    <row r="19" spans="2:14" ht="14.25" thickBot="1">
      <c r="B19" s="3"/>
      <c r="C19" s="4"/>
      <c r="D19" s="4"/>
      <c r="E19" s="4"/>
      <c r="F19" s="4"/>
      <c r="G19" s="4"/>
      <c r="H19" s="4"/>
      <c r="I19" s="4"/>
      <c r="J19" s="4"/>
      <c r="K19" s="4"/>
      <c r="L19" s="4"/>
      <c r="M19" s="4"/>
      <c r="N19" s="4"/>
    </row>
    <row r="20" spans="2:14" ht="13.5">
      <c r="B20" s="5" t="str">
        <f>'Case Manager'!$K$6</f>
        <v>For the FYE January 31</v>
      </c>
      <c r="F20" s="12" t="str">
        <f>'Consolidated Financial Results'!$F$7</f>
        <v>Actual</v>
      </c>
      <c r="G20" s="13"/>
      <c r="H20" s="53"/>
      <c r="I20" s="12" t="str">
        <f>'Consolidated Financial Results'!$I$7</f>
        <v>Projected</v>
      </c>
      <c r="J20" s="12"/>
      <c r="K20" s="12"/>
      <c r="L20" s="13"/>
      <c r="M20" s="6"/>
      <c r="N20" s="33"/>
    </row>
    <row r="21" spans="2:14" ht="12.75">
      <c r="B21" s="7"/>
      <c r="C21" s="7"/>
      <c r="D21" s="7"/>
      <c r="E21" s="7"/>
      <c r="F21" s="15">
        <f>'Consolidated Financial Results'!$F$8</f>
        <v>2003</v>
      </c>
      <c r="G21" s="15">
        <f>'Consolidated Financial Results'!$G$8</f>
        <v>2004</v>
      </c>
      <c r="H21" s="16">
        <f>'Consolidated Financial Results'!$H$8</f>
        <v>2005</v>
      </c>
      <c r="I21" s="15">
        <f>'Consolidated Financial Results'!$I$8</f>
        <v>2006</v>
      </c>
      <c r="J21" s="15">
        <f>'Consolidated Financial Results'!$J$8</f>
        <v>2007</v>
      </c>
      <c r="K21" s="15">
        <f>'Consolidated Financial Results'!$K$8</f>
        <v>2008</v>
      </c>
      <c r="L21" s="15">
        <f>'Consolidated Financial Results'!$L$8</f>
        <v>2009</v>
      </c>
      <c r="M21" s="32">
        <f>'Consolidated Financial Results'!$M$8</f>
        <v>2010</v>
      </c>
      <c r="N21" s="34"/>
    </row>
    <row r="22" spans="2:13" ht="12.75">
      <c r="B22" s="1" t="str">
        <f>'Case Manager'!$B$59</f>
        <v>Base Case</v>
      </c>
      <c r="F22" s="51"/>
      <c r="G22" s="51"/>
      <c r="H22" s="54"/>
      <c r="I22" s="60">
        <v>0.1406333870101986</v>
      </c>
      <c r="J22" s="60">
        <v>0.1406333870101986</v>
      </c>
      <c r="K22" s="60">
        <v>0.1406333870101986</v>
      </c>
      <c r="L22" s="60">
        <v>0.1406333870101986</v>
      </c>
      <c r="M22" s="60">
        <v>0.1406333870101986</v>
      </c>
    </row>
    <row r="23" spans="2:13" ht="12.75">
      <c r="B23" s="1" t="str">
        <f>'Case Manager'!$B$60</f>
        <v>Upside Case</v>
      </c>
      <c r="F23" s="51"/>
      <c r="G23" s="51"/>
      <c r="H23" s="54"/>
      <c r="I23" s="60">
        <v>0.1406333870101986</v>
      </c>
      <c r="J23" s="60">
        <v>0.1406333870101986</v>
      </c>
      <c r="K23" s="60">
        <v>0.1406333870101986</v>
      </c>
      <c r="L23" s="60">
        <v>0.1406333870101986</v>
      </c>
      <c r="M23" s="60">
        <v>0.1406333870101986</v>
      </c>
    </row>
    <row r="24" spans="2:13" ht="12.75">
      <c r="B24" s="1" t="str">
        <f>'Case Manager'!$B$61</f>
        <v>Downside Case</v>
      </c>
      <c r="F24" s="51"/>
      <c r="G24" s="51"/>
      <c r="H24" s="54"/>
      <c r="I24" s="60">
        <v>0.1406333870101986</v>
      </c>
      <c r="J24" s="60">
        <v>0.1406333870101986</v>
      </c>
      <c r="K24" s="60">
        <v>0.1406333870101986</v>
      </c>
      <c r="L24" s="60">
        <v>0.1406333870101986</v>
      </c>
      <c r="M24" s="60">
        <v>0.1406333870101986</v>
      </c>
    </row>
    <row r="25" spans="2:13" ht="12.75">
      <c r="B25" s="1" t="str">
        <f>'Case Manager'!$B$62</f>
        <v>Open Case #1</v>
      </c>
      <c r="F25" s="51"/>
      <c r="G25" s="51"/>
      <c r="H25" s="54"/>
      <c r="I25" s="60">
        <v>0.1406333870101986</v>
      </c>
      <c r="J25" s="60">
        <v>0.1406333870101986</v>
      </c>
      <c r="K25" s="60">
        <v>0.1406333870101986</v>
      </c>
      <c r="L25" s="60">
        <v>0.1406333870101986</v>
      </c>
      <c r="M25" s="60">
        <v>0.1406333870101986</v>
      </c>
    </row>
    <row r="26" spans="2:14" ht="12.75">
      <c r="B26" s="10" t="str">
        <f>'Case Manager'!$B$63</f>
        <v>Open Case #2</v>
      </c>
      <c r="C26" s="10"/>
      <c r="D26" s="10"/>
      <c r="E26" s="10"/>
      <c r="F26" s="52"/>
      <c r="G26" s="52"/>
      <c r="H26" s="55"/>
      <c r="I26" s="61">
        <v>0.1406333870101986</v>
      </c>
      <c r="J26" s="61">
        <v>0.1406333870101986</v>
      </c>
      <c r="K26" s="61">
        <v>0.1406333870101986</v>
      </c>
      <c r="L26" s="61">
        <v>0.1406333870101986</v>
      </c>
      <c r="M26" s="61">
        <v>0.1406333870101986</v>
      </c>
      <c r="N26" s="10"/>
    </row>
    <row r="27" spans="2:13" ht="12.75">
      <c r="B27" s="1" t="str">
        <f>CHOOSE('Case Manager'!$G$65,'Babies R Us'!B22,'Babies R Us'!B23,'Babies R Us'!B24,'Babies R Us'!B25,'Babies R Us'!B26)</f>
        <v>Base Case</v>
      </c>
      <c r="F27" s="9">
        <f>F29/F$16</f>
        <v>0.12351097178683386</v>
      </c>
      <c r="G27" s="9">
        <f>G29/G$16</f>
        <v>0.1283084004602992</v>
      </c>
      <c r="H27" s="27">
        <f>H29/H$16</f>
        <v>0.1406333870101986</v>
      </c>
      <c r="I27" s="9">
        <f>CHOOSE('Case Manager'!$G$65,'Babies R Us'!I22,'Babies R Us'!I23,'Babies R Us'!I24,'Babies R Us'!I25,'Babies R Us'!I26)</f>
        <v>0.1406333870101986</v>
      </c>
      <c r="J27" s="9">
        <f>CHOOSE('Case Manager'!$G$65,'Babies R Us'!J22,'Babies R Us'!J23,'Babies R Us'!J24,'Babies R Us'!J25,'Babies R Us'!J26)</f>
        <v>0.1406333870101986</v>
      </c>
      <c r="K27" s="9">
        <f>CHOOSE('Case Manager'!$G$65,'Babies R Us'!K22,'Babies R Us'!K23,'Babies R Us'!K24,'Babies R Us'!K25,'Babies R Us'!K26)</f>
        <v>0.1406333870101986</v>
      </c>
      <c r="L27" s="9">
        <f>CHOOSE('Case Manager'!$G$65,'Babies R Us'!L22,'Babies R Us'!L23,'Babies R Us'!L24,'Babies R Us'!L25,'Babies R Us'!L26)</f>
        <v>0.1406333870101986</v>
      </c>
      <c r="M27" s="9">
        <f>CHOOSE('Case Manager'!$G$65,'Babies R Us'!M22,'Babies R Us'!M23,'Babies R Us'!M24,'Babies R Us'!M25,'Babies R Us'!M26)</f>
        <v>0.1406333870101986</v>
      </c>
    </row>
    <row r="28" spans="6:13" ht="12.75">
      <c r="F28" s="9"/>
      <c r="G28" s="9"/>
      <c r="H28" s="27"/>
      <c r="I28" s="9"/>
      <c r="J28" s="9"/>
      <c r="K28" s="9"/>
      <c r="L28" s="9"/>
      <c r="M28" s="9"/>
    </row>
    <row r="29" spans="2:14" ht="13.5" thickBot="1">
      <c r="B29" s="58" t="s">
        <v>11</v>
      </c>
      <c r="C29" s="4"/>
      <c r="D29" s="4"/>
      <c r="E29" s="4"/>
      <c r="F29" s="56">
        <v>197</v>
      </c>
      <c r="G29" s="56">
        <v>223</v>
      </c>
      <c r="H29" s="59">
        <v>262</v>
      </c>
      <c r="I29" s="57">
        <f>I27*I16</f>
        <v>262</v>
      </c>
      <c r="J29" s="57">
        <f>J27*J16</f>
        <v>262</v>
      </c>
      <c r="K29" s="57">
        <f>K27*K16</f>
        <v>262</v>
      </c>
      <c r="L29" s="57">
        <f>L27*L16</f>
        <v>262</v>
      </c>
      <c r="M29" s="57">
        <f>M27*M16</f>
        <v>262</v>
      </c>
      <c r="N29" s="4"/>
    </row>
    <row r="30" ht="12.75">
      <c r="B30" s="5"/>
    </row>
    <row r="31" ht="13.5">
      <c r="B31" s="50" t="s">
        <v>34</v>
      </c>
    </row>
    <row r="32" spans="2:14" ht="14.25" thickBot="1">
      <c r="B32" s="3"/>
      <c r="C32" s="4"/>
      <c r="D32" s="4"/>
      <c r="E32" s="4"/>
      <c r="F32" s="4"/>
      <c r="G32" s="4"/>
      <c r="H32" s="4"/>
      <c r="I32" s="4"/>
      <c r="J32" s="4"/>
      <c r="K32" s="4"/>
      <c r="L32" s="4"/>
      <c r="M32" s="4"/>
      <c r="N32" s="4"/>
    </row>
    <row r="33" spans="2:14" ht="13.5">
      <c r="B33" s="5" t="str">
        <f>'Case Manager'!$K$6</f>
        <v>For the FYE January 31</v>
      </c>
      <c r="F33" s="12" t="str">
        <f>'Consolidated Financial Results'!$F$7</f>
        <v>Actual</v>
      </c>
      <c r="G33" s="13"/>
      <c r="H33" s="53"/>
      <c r="I33" s="12" t="str">
        <f>'Consolidated Financial Results'!$I$7</f>
        <v>Projected</v>
      </c>
      <c r="J33" s="12"/>
      <c r="K33" s="12"/>
      <c r="L33" s="13"/>
      <c r="M33" s="6"/>
      <c r="N33" s="33"/>
    </row>
    <row r="34" spans="2:14" ht="12.75">
      <c r="B34" s="7"/>
      <c r="C34" s="7"/>
      <c r="D34" s="7"/>
      <c r="E34" s="7"/>
      <c r="F34" s="15">
        <f>'Consolidated Financial Results'!$F$8</f>
        <v>2003</v>
      </c>
      <c r="G34" s="15">
        <f>'Consolidated Financial Results'!$G$8</f>
        <v>2004</v>
      </c>
      <c r="H34" s="16">
        <f>'Consolidated Financial Results'!$H$8</f>
        <v>2005</v>
      </c>
      <c r="I34" s="15">
        <f>'Consolidated Financial Results'!$I$8</f>
        <v>2006</v>
      </c>
      <c r="J34" s="15">
        <f>'Consolidated Financial Results'!$J$8</f>
        <v>2007</v>
      </c>
      <c r="K34" s="15">
        <f>'Consolidated Financial Results'!$K$8</f>
        <v>2008</v>
      </c>
      <c r="L34" s="15">
        <f>'Consolidated Financial Results'!$L$8</f>
        <v>2009</v>
      </c>
      <c r="M34" s="32">
        <f>'Consolidated Financial Results'!$M$8</f>
        <v>2010</v>
      </c>
      <c r="N34" s="34"/>
    </row>
    <row r="35" spans="2:13" ht="12.75">
      <c r="B35" s="1" t="str">
        <f>'Case Manager'!$B$59</f>
        <v>Base Case</v>
      </c>
      <c r="F35" s="51"/>
      <c r="G35" s="51"/>
      <c r="H35" s="54"/>
      <c r="I35" s="60">
        <v>0.020397208803005905</v>
      </c>
      <c r="J35" s="60">
        <v>0.020397208803005905</v>
      </c>
      <c r="K35" s="60">
        <v>0.020397208803005905</v>
      </c>
      <c r="L35" s="60">
        <v>0.020397208803005905</v>
      </c>
      <c r="M35" s="60">
        <v>0.020397208803005905</v>
      </c>
    </row>
    <row r="36" spans="2:13" ht="12.75">
      <c r="B36" s="1" t="str">
        <f>'Case Manager'!$B$60</f>
        <v>Upside Case</v>
      </c>
      <c r="F36" s="51"/>
      <c r="G36" s="51"/>
      <c r="H36" s="54"/>
      <c r="I36" s="60">
        <v>0.020397208803005905</v>
      </c>
      <c r="J36" s="60">
        <v>0.020397208803005905</v>
      </c>
      <c r="K36" s="60">
        <v>0.020397208803005905</v>
      </c>
      <c r="L36" s="60">
        <v>0.020397208803005905</v>
      </c>
      <c r="M36" s="60">
        <v>0.020397208803005905</v>
      </c>
    </row>
    <row r="37" spans="2:13" ht="12.75">
      <c r="B37" s="1" t="str">
        <f>'Case Manager'!$B$61</f>
        <v>Downside Case</v>
      </c>
      <c r="F37" s="51"/>
      <c r="G37" s="51"/>
      <c r="H37" s="54"/>
      <c r="I37" s="60">
        <v>0.020397208803005905</v>
      </c>
      <c r="J37" s="60">
        <v>0.020397208803005905</v>
      </c>
      <c r="K37" s="60">
        <v>0.020397208803005905</v>
      </c>
      <c r="L37" s="60">
        <v>0.020397208803005905</v>
      </c>
      <c r="M37" s="60">
        <v>0.020397208803005905</v>
      </c>
    </row>
    <row r="38" spans="2:13" ht="12.75">
      <c r="B38" s="1" t="str">
        <f>'Case Manager'!$B$62</f>
        <v>Open Case #1</v>
      </c>
      <c r="F38" s="51"/>
      <c r="G38" s="51"/>
      <c r="H38" s="54"/>
      <c r="I38" s="60">
        <v>0.020397208803005905</v>
      </c>
      <c r="J38" s="60">
        <v>0.020397208803005905</v>
      </c>
      <c r="K38" s="60">
        <v>0.020397208803005905</v>
      </c>
      <c r="L38" s="60">
        <v>0.020397208803005905</v>
      </c>
      <c r="M38" s="60">
        <v>0.020397208803005905</v>
      </c>
    </row>
    <row r="39" spans="2:14" ht="12.75">
      <c r="B39" s="10" t="str">
        <f>'Case Manager'!$B$63</f>
        <v>Open Case #2</v>
      </c>
      <c r="C39" s="10"/>
      <c r="D39" s="10"/>
      <c r="E39" s="10"/>
      <c r="F39" s="52"/>
      <c r="G39" s="52"/>
      <c r="H39" s="55"/>
      <c r="I39" s="61">
        <v>0.020397208803005905</v>
      </c>
      <c r="J39" s="61">
        <v>0.020397208803005905</v>
      </c>
      <c r="K39" s="61">
        <v>0.020397208803005905</v>
      </c>
      <c r="L39" s="61">
        <v>0.020397208803005905</v>
      </c>
      <c r="M39" s="61">
        <v>0.020397208803005905</v>
      </c>
      <c r="N39" s="10"/>
    </row>
    <row r="40" spans="2:13" ht="12.75">
      <c r="B40" s="1" t="str">
        <f>CHOOSE('Case Manager'!$G$65,'Babies R Us'!B35,'Babies R Us'!B36,'Babies R Us'!B37,'Babies R Us'!B38,'Babies R Us'!B39)</f>
        <v>Base Case</v>
      </c>
      <c r="F40" s="9">
        <f>F42/F$16</f>
        <v>0.01755485893416928</v>
      </c>
      <c r="G40" s="9">
        <f>G42/G$16</f>
        <v>0.017836593785960874</v>
      </c>
      <c r="H40" s="27">
        <f>H42/H$16</f>
        <v>0.020397208803005905</v>
      </c>
      <c r="I40" s="9">
        <f>CHOOSE('Case Manager'!$G$65,'Babies R Us'!I35,'Babies R Us'!I36,'Babies R Us'!I37,'Babies R Us'!I38,'Babies R Us'!I39)</f>
        <v>0.020397208803005905</v>
      </c>
      <c r="J40" s="9">
        <f>CHOOSE('Case Manager'!$G$65,'Babies R Us'!J35,'Babies R Us'!J36,'Babies R Us'!J37,'Babies R Us'!J38,'Babies R Us'!J39)</f>
        <v>0.020397208803005905</v>
      </c>
      <c r="K40" s="9">
        <f>CHOOSE('Case Manager'!$G$65,'Babies R Us'!K35,'Babies R Us'!K36,'Babies R Us'!K37,'Babies R Us'!K38,'Babies R Us'!K39)</f>
        <v>0.020397208803005905</v>
      </c>
      <c r="L40" s="9">
        <f>CHOOSE('Case Manager'!$G$65,'Babies R Us'!L35,'Babies R Us'!L36,'Babies R Us'!L37,'Babies R Us'!L38,'Babies R Us'!L39)</f>
        <v>0.020397208803005905</v>
      </c>
      <c r="M40" s="9">
        <f>CHOOSE('Case Manager'!$G$65,'Babies R Us'!M35,'Babies R Us'!M36,'Babies R Us'!M37,'Babies R Us'!M38,'Babies R Us'!M39)</f>
        <v>0.020397208803005905</v>
      </c>
    </row>
    <row r="41" spans="6:13" ht="12.75">
      <c r="F41" s="9"/>
      <c r="G41" s="9"/>
      <c r="H41" s="27"/>
      <c r="I41" s="9"/>
      <c r="J41" s="9"/>
      <c r="K41" s="9"/>
      <c r="L41" s="9"/>
      <c r="M41" s="9"/>
    </row>
    <row r="42" spans="2:14" ht="13.5" thickBot="1">
      <c r="B42" s="58" t="s">
        <v>35</v>
      </c>
      <c r="C42" s="4"/>
      <c r="D42" s="4"/>
      <c r="E42" s="4"/>
      <c r="F42" s="56">
        <v>28</v>
      </c>
      <c r="G42" s="56">
        <v>31</v>
      </c>
      <c r="H42" s="59">
        <v>38</v>
      </c>
      <c r="I42" s="57">
        <f>I40*I16</f>
        <v>38</v>
      </c>
      <c r="J42" s="57">
        <f>J40*J16</f>
        <v>38</v>
      </c>
      <c r="K42" s="57">
        <f>K40*K16</f>
        <v>38</v>
      </c>
      <c r="L42" s="57">
        <f>L40*L16</f>
        <v>38</v>
      </c>
      <c r="M42" s="57">
        <f>M40*M16</f>
        <v>38</v>
      </c>
      <c r="N42" s="4"/>
    </row>
    <row r="43" ht="12.75">
      <c r="B43" s="5"/>
    </row>
    <row r="44" ht="13.5">
      <c r="B44" s="2" t="str">
        <f>B2</f>
        <v>Babies R Us</v>
      </c>
    </row>
    <row r="45" ht="12.75">
      <c r="B45" s="5"/>
    </row>
    <row r="46" ht="13.5">
      <c r="B46" s="2" t="str">
        <f>'Case Manager'!$D$65</f>
        <v>Base Case</v>
      </c>
    </row>
    <row r="47" spans="2:14" ht="14.25" thickBot="1">
      <c r="B47" s="3"/>
      <c r="C47" s="4"/>
      <c r="D47" s="4"/>
      <c r="E47" s="4"/>
      <c r="F47" s="4"/>
      <c r="G47" s="4"/>
      <c r="H47" s="4"/>
      <c r="I47" s="4"/>
      <c r="J47" s="4"/>
      <c r="K47" s="4"/>
      <c r="L47" s="4"/>
      <c r="M47" s="4"/>
      <c r="N47" s="4"/>
    </row>
    <row r="48" spans="2:14" ht="13.5">
      <c r="B48" s="5" t="str">
        <f>'Case Manager'!$K$6</f>
        <v>For the FYE January 31</v>
      </c>
      <c r="F48" s="12" t="str">
        <f>'Consolidated Financial Results'!F7</f>
        <v>Actual</v>
      </c>
      <c r="G48" s="13"/>
      <c r="H48" s="14"/>
      <c r="I48" s="12" t="str">
        <f>'Consolidated Financial Results'!I7</f>
        <v>Projected</v>
      </c>
      <c r="J48" s="12"/>
      <c r="K48" s="12"/>
      <c r="L48" s="13"/>
      <c r="M48" s="6"/>
      <c r="N48" s="33" t="str">
        <f>'Consolidated Financial Results'!N7</f>
        <v>CAGR</v>
      </c>
    </row>
    <row r="49" spans="2:14" ht="12.75">
      <c r="B49" s="7"/>
      <c r="C49" s="7"/>
      <c r="D49" s="7"/>
      <c r="E49" s="7"/>
      <c r="F49" s="15">
        <f>'Consolidated Financial Results'!F8</f>
        <v>2003</v>
      </c>
      <c r="G49" s="15">
        <f>'Consolidated Financial Results'!G8</f>
        <v>2004</v>
      </c>
      <c r="H49" s="16">
        <f>'Consolidated Financial Results'!H8</f>
        <v>2005</v>
      </c>
      <c r="I49" s="15">
        <f>'Consolidated Financial Results'!I8</f>
        <v>2006</v>
      </c>
      <c r="J49" s="15">
        <f>'Consolidated Financial Results'!J8</f>
        <v>2007</v>
      </c>
      <c r="K49" s="15">
        <f>'Consolidated Financial Results'!K8</f>
        <v>2008</v>
      </c>
      <c r="L49" s="15">
        <f>'Consolidated Financial Results'!L8</f>
        <v>2009</v>
      </c>
      <c r="M49" s="32">
        <f>'Consolidated Financial Results'!M8</f>
        <v>2010</v>
      </c>
      <c r="N49" s="34" t="str">
        <f>'Consolidated Financial Results'!N8</f>
        <v>'05-'10</v>
      </c>
    </row>
    <row r="50" spans="2:14" ht="12.75">
      <c r="B50" s="1" t="str">
        <f>B16</f>
        <v>Net Sales</v>
      </c>
      <c r="F50" s="11">
        <f aca="true" t="shared" si="0" ref="F50:M50">F16</f>
        <v>1595</v>
      </c>
      <c r="G50" s="11">
        <f t="shared" si="0"/>
        <v>1738</v>
      </c>
      <c r="H50" s="24">
        <f t="shared" si="0"/>
        <v>1863</v>
      </c>
      <c r="I50" s="11">
        <f t="shared" si="0"/>
        <v>1863</v>
      </c>
      <c r="J50" s="11">
        <f t="shared" si="0"/>
        <v>1863</v>
      </c>
      <c r="K50" s="11">
        <f t="shared" si="0"/>
        <v>1863</v>
      </c>
      <c r="L50" s="11">
        <f t="shared" si="0"/>
        <v>1863</v>
      </c>
      <c r="M50" s="11">
        <f t="shared" si="0"/>
        <v>1863</v>
      </c>
      <c r="N50" s="78">
        <f>(M50/H50)^(1/5)-1</f>
        <v>0</v>
      </c>
    </row>
    <row r="51" spans="2:14" ht="12.75">
      <c r="B51" s="18" t="s">
        <v>5</v>
      </c>
      <c r="G51" s="9">
        <f aca="true" t="shared" si="1" ref="G51:M51">G50/F50-1</f>
        <v>0.08965517241379306</v>
      </c>
      <c r="H51" s="27">
        <f t="shared" si="1"/>
        <v>0.07192174913693905</v>
      </c>
      <c r="I51" s="9">
        <f t="shared" si="1"/>
        <v>0</v>
      </c>
      <c r="J51" s="9">
        <f t="shared" si="1"/>
        <v>0</v>
      </c>
      <c r="K51" s="9">
        <f t="shared" si="1"/>
        <v>0</v>
      </c>
      <c r="L51" s="9">
        <f t="shared" si="1"/>
        <v>0</v>
      </c>
      <c r="M51" s="9">
        <f t="shared" si="1"/>
        <v>0</v>
      </c>
      <c r="N51" s="78"/>
    </row>
    <row r="52" spans="2:14" ht="12.75">
      <c r="B52" s="18"/>
      <c r="G52" s="9"/>
      <c r="H52" s="27"/>
      <c r="I52" s="9"/>
      <c r="J52" s="9"/>
      <c r="K52" s="9"/>
      <c r="L52" s="9"/>
      <c r="M52" s="9"/>
      <c r="N52" s="76"/>
    </row>
    <row r="53" spans="2:14" ht="12.75">
      <c r="B53" s="35" t="s">
        <v>36</v>
      </c>
      <c r="F53" s="11">
        <f aca="true" t="shared" si="2" ref="F53:M53">F50-F57</f>
        <v>1398</v>
      </c>
      <c r="G53" s="11">
        <f t="shared" si="2"/>
        <v>1515</v>
      </c>
      <c r="H53" s="24">
        <f t="shared" si="2"/>
        <v>1601</v>
      </c>
      <c r="I53" s="11">
        <f t="shared" si="2"/>
        <v>1601</v>
      </c>
      <c r="J53" s="11">
        <f t="shared" si="2"/>
        <v>1601</v>
      </c>
      <c r="K53" s="11">
        <f t="shared" si="2"/>
        <v>1601</v>
      </c>
      <c r="L53" s="11">
        <f t="shared" si="2"/>
        <v>1601</v>
      </c>
      <c r="M53" s="11">
        <f t="shared" si="2"/>
        <v>1601</v>
      </c>
      <c r="N53" s="78">
        <f>(M53/H53)^(1/5)-1</f>
        <v>0</v>
      </c>
    </row>
    <row r="54" spans="2:14" ht="12.75">
      <c r="B54" s="18" t="s">
        <v>5</v>
      </c>
      <c r="G54" s="9">
        <f aca="true" t="shared" si="3" ref="G54:M54">G53/F53-1</f>
        <v>0.08369098712446355</v>
      </c>
      <c r="H54" s="27">
        <f t="shared" si="3"/>
        <v>0.05676567656765674</v>
      </c>
      <c r="I54" s="9">
        <f t="shared" si="3"/>
        <v>0</v>
      </c>
      <c r="J54" s="9">
        <f t="shared" si="3"/>
        <v>0</v>
      </c>
      <c r="K54" s="9">
        <f t="shared" si="3"/>
        <v>0</v>
      </c>
      <c r="L54" s="9">
        <f t="shared" si="3"/>
        <v>0</v>
      </c>
      <c r="M54" s="9">
        <f t="shared" si="3"/>
        <v>0</v>
      </c>
      <c r="N54" s="76"/>
    </row>
    <row r="55" spans="2:14" ht="12.75">
      <c r="B55" s="18" t="s">
        <v>8</v>
      </c>
      <c r="F55" s="9">
        <f aca="true" t="shared" si="4" ref="F55:M55">F53/F$50</f>
        <v>0.8764890282131661</v>
      </c>
      <c r="G55" s="9">
        <f t="shared" si="4"/>
        <v>0.8716915995397008</v>
      </c>
      <c r="H55" s="27">
        <f t="shared" si="4"/>
        <v>0.8593666129898014</v>
      </c>
      <c r="I55" s="9">
        <f t="shared" si="4"/>
        <v>0.8593666129898014</v>
      </c>
      <c r="J55" s="9">
        <f t="shared" si="4"/>
        <v>0.8593666129898014</v>
      </c>
      <c r="K55" s="9">
        <f t="shared" si="4"/>
        <v>0.8593666129898014</v>
      </c>
      <c r="L55" s="9">
        <f t="shared" si="4"/>
        <v>0.8593666129898014</v>
      </c>
      <c r="M55" s="9">
        <f t="shared" si="4"/>
        <v>0.8593666129898014</v>
      </c>
      <c r="N55" s="76"/>
    </row>
    <row r="56" spans="8:14" ht="12.75">
      <c r="H56" s="28"/>
      <c r="N56" s="76"/>
    </row>
    <row r="57" spans="2:14" ht="12.75">
      <c r="B57" s="1" t="str">
        <f>B29</f>
        <v>EBITDA</v>
      </c>
      <c r="F57" s="11">
        <f aca="true" t="shared" si="5" ref="F57:M57">F29</f>
        <v>197</v>
      </c>
      <c r="G57" s="11">
        <f t="shared" si="5"/>
        <v>223</v>
      </c>
      <c r="H57" s="24">
        <f t="shared" si="5"/>
        <v>262</v>
      </c>
      <c r="I57" s="11">
        <f t="shared" si="5"/>
        <v>262</v>
      </c>
      <c r="J57" s="11">
        <f t="shared" si="5"/>
        <v>262</v>
      </c>
      <c r="K57" s="11">
        <f t="shared" si="5"/>
        <v>262</v>
      </c>
      <c r="L57" s="11">
        <f t="shared" si="5"/>
        <v>262</v>
      </c>
      <c r="M57" s="11">
        <f t="shared" si="5"/>
        <v>262</v>
      </c>
      <c r="N57" s="78">
        <f>(M57/H57)^(1/5)-1</f>
        <v>0</v>
      </c>
    </row>
    <row r="58" spans="2:14" ht="12.75">
      <c r="B58" s="18" t="s">
        <v>5</v>
      </c>
      <c r="G58" s="9">
        <f aca="true" t="shared" si="6" ref="G58:M58">G57/F57-1</f>
        <v>0.13197969543147203</v>
      </c>
      <c r="H58" s="27">
        <f t="shared" si="6"/>
        <v>0.17488789237668168</v>
      </c>
      <c r="I58" s="9">
        <f t="shared" si="6"/>
        <v>0</v>
      </c>
      <c r="J58" s="9">
        <f t="shared" si="6"/>
        <v>0</v>
      </c>
      <c r="K58" s="9">
        <f t="shared" si="6"/>
        <v>0</v>
      </c>
      <c r="L58" s="9">
        <f t="shared" si="6"/>
        <v>0</v>
      </c>
      <c r="M58" s="9">
        <f t="shared" si="6"/>
        <v>0</v>
      </c>
      <c r="N58" s="76"/>
    </row>
    <row r="59" spans="2:14" ht="12.75">
      <c r="B59" s="18" t="s">
        <v>8</v>
      </c>
      <c r="F59" s="9">
        <f aca="true" t="shared" si="7" ref="F59:M59">F57/F$50</f>
        <v>0.12351097178683386</v>
      </c>
      <c r="G59" s="9">
        <f t="shared" si="7"/>
        <v>0.1283084004602992</v>
      </c>
      <c r="H59" s="27">
        <f t="shared" si="7"/>
        <v>0.1406333870101986</v>
      </c>
      <c r="I59" s="9">
        <f t="shared" si="7"/>
        <v>0.1406333870101986</v>
      </c>
      <c r="J59" s="9">
        <f t="shared" si="7"/>
        <v>0.1406333870101986</v>
      </c>
      <c r="K59" s="9">
        <f t="shared" si="7"/>
        <v>0.1406333870101986</v>
      </c>
      <c r="L59" s="9">
        <f t="shared" si="7"/>
        <v>0.1406333870101986</v>
      </c>
      <c r="M59" s="9">
        <f t="shared" si="7"/>
        <v>0.1406333870101986</v>
      </c>
      <c r="N59" s="76"/>
    </row>
    <row r="60" spans="2:14" ht="12.75">
      <c r="B60" s="18"/>
      <c r="C60" s="8"/>
      <c r="D60" s="8"/>
      <c r="E60" s="8"/>
      <c r="F60" s="31"/>
      <c r="G60" s="31"/>
      <c r="H60" s="27"/>
      <c r="I60" s="31"/>
      <c r="J60" s="31"/>
      <c r="K60" s="31"/>
      <c r="L60" s="31"/>
      <c r="M60" s="31"/>
      <c r="N60" s="76"/>
    </row>
    <row r="61" spans="2:14" ht="12.75">
      <c r="B61" s="10" t="str">
        <f>B42</f>
        <v>D&amp;A</v>
      </c>
      <c r="C61" s="10"/>
      <c r="D61" s="10"/>
      <c r="E61" s="10"/>
      <c r="F61" s="17">
        <f aca="true" t="shared" si="8" ref="F61:M61">F42</f>
        <v>28</v>
      </c>
      <c r="G61" s="17">
        <f t="shared" si="8"/>
        <v>31</v>
      </c>
      <c r="H61" s="26">
        <f t="shared" si="8"/>
        <v>38</v>
      </c>
      <c r="I61" s="17">
        <f t="shared" si="8"/>
        <v>38</v>
      </c>
      <c r="J61" s="17">
        <f t="shared" si="8"/>
        <v>38</v>
      </c>
      <c r="K61" s="17">
        <f t="shared" si="8"/>
        <v>38</v>
      </c>
      <c r="L61" s="17">
        <f t="shared" si="8"/>
        <v>38</v>
      </c>
      <c r="M61" s="17">
        <f t="shared" si="8"/>
        <v>38</v>
      </c>
      <c r="N61" s="79">
        <f>(M61/H61)^(1/5)-1</f>
        <v>0</v>
      </c>
    </row>
    <row r="62" spans="2:14" ht="12.75">
      <c r="B62" s="35" t="s">
        <v>17</v>
      </c>
      <c r="F62" s="11">
        <f aca="true" t="shared" si="9" ref="F62:M62">F57-F61</f>
        <v>169</v>
      </c>
      <c r="G62" s="11">
        <f t="shared" si="9"/>
        <v>192</v>
      </c>
      <c r="H62" s="24">
        <f t="shared" si="9"/>
        <v>224</v>
      </c>
      <c r="I62" s="11">
        <f t="shared" si="9"/>
        <v>224</v>
      </c>
      <c r="J62" s="11">
        <f t="shared" si="9"/>
        <v>224</v>
      </c>
      <c r="K62" s="11">
        <f t="shared" si="9"/>
        <v>224</v>
      </c>
      <c r="L62" s="11">
        <f t="shared" si="9"/>
        <v>224</v>
      </c>
      <c r="M62" s="11">
        <f t="shared" si="9"/>
        <v>224</v>
      </c>
      <c r="N62" s="78">
        <f>(M62/H62)^(1/5)-1</f>
        <v>0</v>
      </c>
    </row>
    <row r="63" spans="2:13" ht="12.75">
      <c r="B63" s="18" t="s">
        <v>5</v>
      </c>
      <c r="G63" s="9">
        <f aca="true" t="shared" si="10" ref="G63:M63">G62/F62-1</f>
        <v>0.13609467455621305</v>
      </c>
      <c r="H63" s="27">
        <f t="shared" si="10"/>
        <v>0.16666666666666674</v>
      </c>
      <c r="I63" s="9">
        <f t="shared" si="10"/>
        <v>0</v>
      </c>
      <c r="J63" s="9">
        <f t="shared" si="10"/>
        <v>0</v>
      </c>
      <c r="K63" s="9">
        <f t="shared" si="10"/>
        <v>0</v>
      </c>
      <c r="L63" s="9">
        <f t="shared" si="10"/>
        <v>0</v>
      </c>
      <c r="M63" s="9">
        <f t="shared" si="10"/>
        <v>0</v>
      </c>
    </row>
    <row r="64" spans="2:14" ht="13.5" thickBot="1">
      <c r="B64" s="19" t="s">
        <v>8</v>
      </c>
      <c r="C64" s="4"/>
      <c r="D64" s="4"/>
      <c r="E64" s="4"/>
      <c r="F64" s="20">
        <f aca="true" t="shared" si="11" ref="F64:M64">F62/F$50</f>
        <v>0.10595611285266458</v>
      </c>
      <c r="G64" s="20">
        <f t="shared" si="11"/>
        <v>0.11047180667433831</v>
      </c>
      <c r="H64" s="29">
        <f t="shared" si="11"/>
        <v>0.1202361782071927</v>
      </c>
      <c r="I64" s="20">
        <f t="shared" si="11"/>
        <v>0.1202361782071927</v>
      </c>
      <c r="J64" s="20">
        <f t="shared" si="11"/>
        <v>0.1202361782071927</v>
      </c>
      <c r="K64" s="20">
        <f t="shared" si="11"/>
        <v>0.1202361782071927</v>
      </c>
      <c r="L64" s="20">
        <f t="shared" si="11"/>
        <v>0.1202361782071927</v>
      </c>
      <c r="M64" s="20">
        <f t="shared" si="11"/>
        <v>0.1202361782071927</v>
      </c>
      <c r="N64" s="4"/>
    </row>
  </sheetData>
  <sheetProtection/>
  <printOptions/>
  <pageMargins left="0.5" right="0.5" top="0.5" bottom="0.5" header="0.5" footer="0.5"/>
  <pageSetup horizontalDpi="600" verticalDpi="600" orientation="landscape" scale="90" r:id="rId1"/>
  <headerFooter alignWithMargins="0">
    <oddFooter>&amp;R&amp;"Times New Roman,Regular"&amp;8Page &amp;P &amp;D / &amp;T</oddFooter>
  </headerFooter>
</worksheet>
</file>

<file path=xl/worksheets/sheet11.xml><?xml version="1.0" encoding="utf-8"?>
<worksheet xmlns="http://schemas.openxmlformats.org/spreadsheetml/2006/main" xmlns:r="http://schemas.openxmlformats.org/officeDocument/2006/relationships">
  <dimension ref="B2:N64"/>
  <sheetViews>
    <sheetView showGridLines="0" zoomScalePageLayoutView="0" workbookViewId="0" topLeftCell="A1">
      <selection activeCell="A1" sqref="A1"/>
    </sheetView>
  </sheetViews>
  <sheetFormatPr defaultColWidth="10.7109375" defaultRowHeight="12.75"/>
  <cols>
    <col min="1" max="16384" width="10.7109375" style="1" customWidth="1"/>
  </cols>
  <sheetData>
    <row r="2" ht="13.5">
      <c r="B2" s="50" t="s">
        <v>39</v>
      </c>
    </row>
    <row r="3" ht="12.75">
      <c r="B3" s="5" t="str">
        <f>'Case Manager'!$K$5</f>
        <v>($ in millions)</v>
      </c>
    </row>
    <row r="4" ht="12.75">
      <c r="B4" s="5"/>
    </row>
    <row r="5" ht="13.5">
      <c r="B5" s="50" t="s">
        <v>32</v>
      </c>
    </row>
    <row r="6" spans="2:14" ht="14.25" thickBot="1">
      <c r="B6" s="3"/>
      <c r="C6" s="4"/>
      <c r="D6" s="4"/>
      <c r="E6" s="4"/>
      <c r="F6" s="4"/>
      <c r="G6" s="4"/>
      <c r="H6" s="4"/>
      <c r="I6" s="4"/>
      <c r="J6" s="4"/>
      <c r="K6" s="4"/>
      <c r="L6" s="4"/>
      <c r="M6" s="4"/>
      <c r="N6" s="4"/>
    </row>
    <row r="7" spans="2:14" ht="13.5">
      <c r="B7" s="5" t="str">
        <f>'Case Manager'!$K$6</f>
        <v>For the FYE January 31</v>
      </c>
      <c r="F7" s="12" t="str">
        <f>'Consolidated Financial Results'!$F$7</f>
        <v>Actual</v>
      </c>
      <c r="G7" s="13"/>
      <c r="H7" s="53"/>
      <c r="I7" s="12" t="str">
        <f>'Consolidated Financial Results'!$I$7</f>
        <v>Projected</v>
      </c>
      <c r="J7" s="12"/>
      <c r="K7" s="12"/>
      <c r="L7" s="13"/>
      <c r="M7" s="6"/>
      <c r="N7" s="33"/>
    </row>
    <row r="8" spans="2:14" ht="12.75">
      <c r="B8" s="7"/>
      <c r="C8" s="7"/>
      <c r="D8" s="7"/>
      <c r="E8" s="7"/>
      <c r="F8" s="15">
        <f>'Consolidated Financial Results'!$F$8</f>
        <v>2003</v>
      </c>
      <c r="G8" s="15">
        <f>'Consolidated Financial Results'!$G$8</f>
        <v>2004</v>
      </c>
      <c r="H8" s="16">
        <f>'Consolidated Financial Results'!$H$8</f>
        <v>2005</v>
      </c>
      <c r="I8" s="15">
        <f>'Consolidated Financial Results'!$I$8</f>
        <v>2006</v>
      </c>
      <c r="J8" s="15">
        <f>'Consolidated Financial Results'!$J$8</f>
        <v>2007</v>
      </c>
      <c r="K8" s="15">
        <f>'Consolidated Financial Results'!$K$8</f>
        <v>2008</v>
      </c>
      <c r="L8" s="15">
        <f>'Consolidated Financial Results'!$L$8</f>
        <v>2009</v>
      </c>
      <c r="M8" s="32">
        <f>'Consolidated Financial Results'!$M$8</f>
        <v>2010</v>
      </c>
      <c r="N8" s="34"/>
    </row>
    <row r="9" spans="2:13" ht="12.75">
      <c r="B9" s="1" t="str">
        <f>'Case Manager'!$B$59</f>
        <v>Base Case</v>
      </c>
      <c r="F9" s="51"/>
      <c r="G9" s="51"/>
      <c r="H9" s="54"/>
      <c r="I9" s="60">
        <v>0</v>
      </c>
      <c r="J9" s="60">
        <v>0</v>
      </c>
      <c r="K9" s="60">
        <v>0</v>
      </c>
      <c r="L9" s="60">
        <v>0</v>
      </c>
      <c r="M9" s="60">
        <v>0</v>
      </c>
    </row>
    <row r="10" spans="2:13" ht="12.75">
      <c r="B10" s="1" t="str">
        <f>'Case Manager'!$B$60</f>
        <v>Upside Case</v>
      </c>
      <c r="F10" s="51"/>
      <c r="G10" s="51"/>
      <c r="H10" s="54"/>
      <c r="I10" s="60">
        <v>0</v>
      </c>
      <c r="J10" s="60">
        <v>0</v>
      </c>
      <c r="K10" s="60">
        <v>0</v>
      </c>
      <c r="L10" s="60">
        <v>0</v>
      </c>
      <c r="M10" s="60">
        <v>0</v>
      </c>
    </row>
    <row r="11" spans="2:13" ht="12.75">
      <c r="B11" s="1" t="str">
        <f>'Case Manager'!$B$61</f>
        <v>Downside Case</v>
      </c>
      <c r="F11" s="51"/>
      <c r="G11" s="51"/>
      <c r="H11" s="54"/>
      <c r="I11" s="60">
        <v>0</v>
      </c>
      <c r="J11" s="60">
        <v>0</v>
      </c>
      <c r="K11" s="60">
        <v>0</v>
      </c>
      <c r="L11" s="60">
        <v>0</v>
      </c>
      <c r="M11" s="60">
        <v>0</v>
      </c>
    </row>
    <row r="12" spans="2:13" ht="12.75">
      <c r="B12" s="1" t="str">
        <f>'Case Manager'!$B$62</f>
        <v>Open Case #1</v>
      </c>
      <c r="F12" s="51"/>
      <c r="G12" s="51"/>
      <c r="H12" s="54"/>
      <c r="I12" s="60">
        <v>0</v>
      </c>
      <c r="J12" s="60">
        <v>0</v>
      </c>
      <c r="K12" s="60">
        <v>0</v>
      </c>
      <c r="L12" s="60">
        <v>0</v>
      </c>
      <c r="M12" s="60">
        <v>0</v>
      </c>
    </row>
    <row r="13" spans="2:14" ht="12.75">
      <c r="B13" s="10" t="str">
        <f>'Case Manager'!$B$63</f>
        <v>Open Case #2</v>
      </c>
      <c r="C13" s="10"/>
      <c r="D13" s="10"/>
      <c r="E13" s="10"/>
      <c r="F13" s="52"/>
      <c r="G13" s="52"/>
      <c r="H13" s="55"/>
      <c r="I13" s="61">
        <v>0</v>
      </c>
      <c r="J13" s="61">
        <v>0</v>
      </c>
      <c r="K13" s="61">
        <v>0</v>
      </c>
      <c r="L13" s="61">
        <v>0</v>
      </c>
      <c r="M13" s="61">
        <v>0</v>
      </c>
      <c r="N13" s="10"/>
    </row>
    <row r="14" spans="2:13" ht="12.75">
      <c r="B14" s="1" t="str">
        <f>CHOOSE('Case Manager'!$G$65,'Toys R Us.com'!B9,'Toys R Us.com'!B10,'Toys R Us.com'!B11,'Toys R Us.com'!B12,'Toys R Us.com'!B13)</f>
        <v>Base Case</v>
      </c>
      <c r="F14" s="9"/>
      <c r="G14" s="9">
        <f>G16/F16-1</f>
        <v>0.09117647058823519</v>
      </c>
      <c r="H14" s="27">
        <f>H16/G16-1</f>
        <v>-0.013477088948787075</v>
      </c>
      <c r="I14" s="9">
        <f>CHOOSE('Case Manager'!$G$65,'Toys R Us.com'!I9,'Toys R Us.com'!I10,'Toys R Us.com'!I11,'Toys R Us.com'!I12,'Toys R Us.com'!I13)</f>
        <v>0</v>
      </c>
      <c r="J14" s="9">
        <f>CHOOSE('Case Manager'!$G$65,'Toys R Us.com'!J9,'Toys R Us.com'!J10,'Toys R Us.com'!J11,'Toys R Us.com'!J12,'Toys R Us.com'!J13)</f>
        <v>0</v>
      </c>
      <c r="K14" s="9">
        <f>CHOOSE('Case Manager'!$G$65,'Toys R Us.com'!K9,'Toys R Us.com'!K10,'Toys R Us.com'!K11,'Toys R Us.com'!K12,'Toys R Us.com'!K13)</f>
        <v>0</v>
      </c>
      <c r="L14" s="9">
        <f>CHOOSE('Case Manager'!$G$65,'Toys R Us.com'!L9,'Toys R Us.com'!L10,'Toys R Us.com'!L11,'Toys R Us.com'!L12,'Toys R Us.com'!L13)</f>
        <v>0</v>
      </c>
      <c r="M14" s="9">
        <f>CHOOSE('Case Manager'!$G$65,'Toys R Us.com'!M9,'Toys R Us.com'!M10,'Toys R Us.com'!M11,'Toys R Us.com'!M12,'Toys R Us.com'!M13)</f>
        <v>0</v>
      </c>
    </row>
    <row r="15" spans="6:13" ht="12.75">
      <c r="F15" s="9"/>
      <c r="G15" s="9"/>
      <c r="H15" s="27"/>
      <c r="I15" s="9"/>
      <c r="J15" s="9"/>
      <c r="K15" s="9"/>
      <c r="L15" s="9"/>
      <c r="M15" s="9"/>
    </row>
    <row r="16" spans="2:14" ht="13.5" thickBot="1">
      <c r="B16" s="58" t="s">
        <v>31</v>
      </c>
      <c r="C16" s="4"/>
      <c r="D16" s="4"/>
      <c r="E16" s="4"/>
      <c r="F16" s="56">
        <v>340</v>
      </c>
      <c r="G16" s="56">
        <v>371</v>
      </c>
      <c r="H16" s="59">
        <v>366</v>
      </c>
      <c r="I16" s="57">
        <f>H16*(1+I14)</f>
        <v>366</v>
      </c>
      <c r="J16" s="57">
        <f>I16*(1+J14)</f>
        <v>366</v>
      </c>
      <c r="K16" s="57">
        <f>J16*(1+K14)</f>
        <v>366</v>
      </c>
      <c r="L16" s="57">
        <f>K16*(1+L14)</f>
        <v>366</v>
      </c>
      <c r="M16" s="57">
        <f>L16*(1+M14)</f>
        <v>366</v>
      </c>
      <c r="N16" s="4"/>
    </row>
    <row r="17" ht="12.75">
      <c r="B17" s="5"/>
    </row>
    <row r="18" ht="13.5">
      <c r="B18" s="50" t="s">
        <v>33</v>
      </c>
    </row>
    <row r="19" spans="2:14" ht="14.25" thickBot="1">
      <c r="B19" s="3"/>
      <c r="C19" s="4"/>
      <c r="D19" s="4"/>
      <c r="E19" s="4"/>
      <c r="F19" s="4"/>
      <c r="G19" s="4"/>
      <c r="H19" s="4"/>
      <c r="I19" s="4"/>
      <c r="J19" s="4"/>
      <c r="K19" s="4"/>
      <c r="L19" s="4"/>
      <c r="M19" s="4"/>
      <c r="N19" s="4"/>
    </row>
    <row r="20" spans="2:14" ht="13.5">
      <c r="B20" s="5" t="str">
        <f>'Case Manager'!$K$6</f>
        <v>For the FYE January 31</v>
      </c>
      <c r="F20" s="12" t="str">
        <f>'Consolidated Financial Results'!$F$7</f>
        <v>Actual</v>
      </c>
      <c r="G20" s="13"/>
      <c r="H20" s="53"/>
      <c r="I20" s="12" t="str">
        <f>'Consolidated Financial Results'!$I$7</f>
        <v>Projected</v>
      </c>
      <c r="J20" s="12"/>
      <c r="K20" s="12"/>
      <c r="L20" s="13"/>
      <c r="M20" s="6"/>
      <c r="N20" s="33"/>
    </row>
    <row r="21" spans="2:14" ht="12.75">
      <c r="B21" s="7"/>
      <c r="C21" s="7"/>
      <c r="D21" s="7"/>
      <c r="E21" s="7"/>
      <c r="F21" s="15">
        <f>'Consolidated Financial Results'!$F$8</f>
        <v>2003</v>
      </c>
      <c r="G21" s="15">
        <f>'Consolidated Financial Results'!$G$8</f>
        <v>2004</v>
      </c>
      <c r="H21" s="16">
        <f>'Consolidated Financial Results'!$H$8</f>
        <v>2005</v>
      </c>
      <c r="I21" s="15">
        <f>'Consolidated Financial Results'!$I$8</f>
        <v>2006</v>
      </c>
      <c r="J21" s="15">
        <f>'Consolidated Financial Results'!$J$8</f>
        <v>2007</v>
      </c>
      <c r="K21" s="15">
        <f>'Consolidated Financial Results'!$K$8</f>
        <v>2008</v>
      </c>
      <c r="L21" s="15">
        <f>'Consolidated Financial Results'!$L$8</f>
        <v>2009</v>
      </c>
      <c r="M21" s="32">
        <f>'Consolidated Financial Results'!$M$8</f>
        <v>2010</v>
      </c>
      <c r="N21" s="34"/>
    </row>
    <row r="22" spans="2:13" ht="12.75">
      <c r="B22" s="1" t="str">
        <f>'Case Manager'!$B$59</f>
        <v>Base Case</v>
      </c>
      <c r="F22" s="51"/>
      <c r="G22" s="51"/>
      <c r="H22" s="54"/>
      <c r="I22" s="60">
        <v>0.00273224043715847</v>
      </c>
      <c r="J22" s="60">
        <v>0.00273224043715847</v>
      </c>
      <c r="K22" s="60">
        <v>0.00273224043715847</v>
      </c>
      <c r="L22" s="60">
        <v>0.00273224043715847</v>
      </c>
      <c r="M22" s="60">
        <v>0.00273224043715847</v>
      </c>
    </row>
    <row r="23" spans="2:13" ht="12.75">
      <c r="B23" s="1" t="str">
        <f>'Case Manager'!$B$60</f>
        <v>Upside Case</v>
      </c>
      <c r="F23" s="51"/>
      <c r="G23" s="51"/>
      <c r="H23" s="54"/>
      <c r="I23" s="60">
        <v>0.00273224043715847</v>
      </c>
      <c r="J23" s="60">
        <v>0.00273224043715847</v>
      </c>
      <c r="K23" s="60">
        <v>0.00273224043715847</v>
      </c>
      <c r="L23" s="60">
        <v>0.00273224043715847</v>
      </c>
      <c r="M23" s="60">
        <v>0.00273224043715847</v>
      </c>
    </row>
    <row r="24" spans="2:13" ht="12.75">
      <c r="B24" s="1" t="str">
        <f>'Case Manager'!$B$61</f>
        <v>Downside Case</v>
      </c>
      <c r="F24" s="51"/>
      <c r="G24" s="51"/>
      <c r="H24" s="54"/>
      <c r="I24" s="60">
        <v>0.00273224043715847</v>
      </c>
      <c r="J24" s="60">
        <v>0.00273224043715847</v>
      </c>
      <c r="K24" s="60">
        <v>0.00273224043715847</v>
      </c>
      <c r="L24" s="60">
        <v>0.00273224043715847</v>
      </c>
      <c r="M24" s="60">
        <v>0.00273224043715847</v>
      </c>
    </row>
    <row r="25" spans="2:13" ht="12.75">
      <c r="B25" s="1" t="str">
        <f>'Case Manager'!$B$62</f>
        <v>Open Case #1</v>
      </c>
      <c r="F25" s="51"/>
      <c r="G25" s="51"/>
      <c r="H25" s="54"/>
      <c r="I25" s="60">
        <v>0.00273224043715847</v>
      </c>
      <c r="J25" s="60">
        <v>0.00273224043715847</v>
      </c>
      <c r="K25" s="60">
        <v>0.00273224043715847</v>
      </c>
      <c r="L25" s="60">
        <v>0.00273224043715847</v>
      </c>
      <c r="M25" s="60">
        <v>0.00273224043715847</v>
      </c>
    </row>
    <row r="26" spans="2:14" ht="12.75">
      <c r="B26" s="10" t="str">
        <f>'Case Manager'!$B$63</f>
        <v>Open Case #2</v>
      </c>
      <c r="C26" s="10"/>
      <c r="D26" s="10"/>
      <c r="E26" s="10"/>
      <c r="F26" s="52"/>
      <c r="G26" s="52"/>
      <c r="H26" s="55"/>
      <c r="I26" s="61">
        <v>0.00273224043715847</v>
      </c>
      <c r="J26" s="61">
        <v>0.00273224043715847</v>
      </c>
      <c r="K26" s="61">
        <v>0.00273224043715847</v>
      </c>
      <c r="L26" s="61">
        <v>0.00273224043715847</v>
      </c>
      <c r="M26" s="61">
        <v>0.00273224043715847</v>
      </c>
      <c r="N26" s="10"/>
    </row>
    <row r="27" spans="2:13" ht="12.75">
      <c r="B27" s="1" t="str">
        <f>CHOOSE('Case Manager'!$G$65,'Toys R Us.com'!B22,'Toys R Us.com'!B23,'Toys R Us.com'!B24,'Toys R Us.com'!B25,'Toys R Us.com'!B26)</f>
        <v>Base Case</v>
      </c>
      <c r="F27" s="9">
        <f>F29/F$16</f>
        <v>-0.09705882352941177</v>
      </c>
      <c r="G27" s="9">
        <f>G29/G$16</f>
        <v>-0.0431266846361186</v>
      </c>
      <c r="H27" s="27">
        <f>H29/H$16</f>
        <v>0.00273224043715847</v>
      </c>
      <c r="I27" s="9">
        <f>CHOOSE('Case Manager'!$G$65,'Toys R Us.com'!I22,'Toys R Us.com'!I23,'Toys R Us.com'!I24,'Toys R Us.com'!I25,'Toys R Us.com'!I26)</f>
        <v>0.00273224043715847</v>
      </c>
      <c r="J27" s="9">
        <f>CHOOSE('Case Manager'!$G$65,'Toys R Us.com'!J22,'Toys R Us.com'!J23,'Toys R Us.com'!J24,'Toys R Us.com'!J25,'Toys R Us.com'!J26)</f>
        <v>0.00273224043715847</v>
      </c>
      <c r="K27" s="9">
        <f>CHOOSE('Case Manager'!$G$65,'Toys R Us.com'!K22,'Toys R Us.com'!K23,'Toys R Us.com'!K24,'Toys R Us.com'!K25,'Toys R Us.com'!K26)</f>
        <v>0.00273224043715847</v>
      </c>
      <c r="L27" s="9">
        <f>CHOOSE('Case Manager'!$G$65,'Toys R Us.com'!L22,'Toys R Us.com'!L23,'Toys R Us.com'!L24,'Toys R Us.com'!L25,'Toys R Us.com'!L26)</f>
        <v>0.00273224043715847</v>
      </c>
      <c r="M27" s="9">
        <f>CHOOSE('Case Manager'!$G$65,'Toys R Us.com'!M22,'Toys R Us.com'!M23,'Toys R Us.com'!M24,'Toys R Us.com'!M25,'Toys R Us.com'!M26)</f>
        <v>0.00273224043715847</v>
      </c>
    </row>
    <row r="28" spans="6:13" ht="12.75">
      <c r="F28" s="9"/>
      <c r="G28" s="9"/>
      <c r="H28" s="27"/>
      <c r="I28" s="9"/>
      <c r="J28" s="9"/>
      <c r="K28" s="9"/>
      <c r="L28" s="9"/>
      <c r="M28" s="9"/>
    </row>
    <row r="29" spans="2:14" ht="13.5" thickBot="1">
      <c r="B29" s="58" t="s">
        <v>11</v>
      </c>
      <c r="C29" s="4"/>
      <c r="D29" s="4"/>
      <c r="E29" s="4"/>
      <c r="F29" s="56">
        <v>-33</v>
      </c>
      <c r="G29" s="56">
        <v>-16</v>
      </c>
      <c r="H29" s="59">
        <v>1</v>
      </c>
      <c r="I29" s="57">
        <f>I27*I16</f>
        <v>1</v>
      </c>
      <c r="J29" s="57">
        <f>J27*J16</f>
        <v>1</v>
      </c>
      <c r="K29" s="57">
        <f>K27*K16</f>
        <v>1</v>
      </c>
      <c r="L29" s="57">
        <f>L27*L16</f>
        <v>1</v>
      </c>
      <c r="M29" s="57">
        <f>M27*M16</f>
        <v>1</v>
      </c>
      <c r="N29" s="4"/>
    </row>
    <row r="30" ht="12.75">
      <c r="B30" s="5"/>
    </row>
    <row r="31" ht="13.5">
      <c r="B31" s="50" t="s">
        <v>34</v>
      </c>
    </row>
    <row r="32" spans="2:14" ht="14.25" thickBot="1">
      <c r="B32" s="3"/>
      <c r="C32" s="4"/>
      <c r="D32" s="4"/>
      <c r="E32" s="4"/>
      <c r="F32" s="4"/>
      <c r="G32" s="4"/>
      <c r="H32" s="4"/>
      <c r="I32" s="4"/>
      <c r="J32" s="4"/>
      <c r="K32" s="4"/>
      <c r="L32" s="4"/>
      <c r="M32" s="4"/>
      <c r="N32" s="4"/>
    </row>
    <row r="33" spans="2:14" ht="13.5">
      <c r="B33" s="5" t="str">
        <f>'Case Manager'!$K$6</f>
        <v>For the FYE January 31</v>
      </c>
      <c r="F33" s="12" t="str">
        <f>'Consolidated Financial Results'!$F$7</f>
        <v>Actual</v>
      </c>
      <c r="G33" s="13"/>
      <c r="H33" s="53"/>
      <c r="I33" s="12" t="str">
        <f>'Consolidated Financial Results'!$I$7</f>
        <v>Projected</v>
      </c>
      <c r="J33" s="12"/>
      <c r="K33" s="12"/>
      <c r="L33" s="13"/>
      <c r="M33" s="6"/>
      <c r="N33" s="33"/>
    </row>
    <row r="34" spans="2:14" ht="12.75">
      <c r="B34" s="7"/>
      <c r="C34" s="7"/>
      <c r="D34" s="7"/>
      <c r="E34" s="7"/>
      <c r="F34" s="15">
        <f>'Consolidated Financial Results'!$F$8</f>
        <v>2003</v>
      </c>
      <c r="G34" s="15">
        <f>'Consolidated Financial Results'!$G$8</f>
        <v>2004</v>
      </c>
      <c r="H34" s="16">
        <f>'Consolidated Financial Results'!$H$8</f>
        <v>2005</v>
      </c>
      <c r="I34" s="15">
        <f>'Consolidated Financial Results'!$I$8</f>
        <v>2006</v>
      </c>
      <c r="J34" s="15">
        <f>'Consolidated Financial Results'!$J$8</f>
        <v>2007</v>
      </c>
      <c r="K34" s="15">
        <f>'Consolidated Financial Results'!$K$8</f>
        <v>2008</v>
      </c>
      <c r="L34" s="15">
        <f>'Consolidated Financial Results'!$L$8</f>
        <v>2009</v>
      </c>
      <c r="M34" s="32">
        <f>'Consolidated Financial Results'!$M$8</f>
        <v>2010</v>
      </c>
      <c r="N34" s="34"/>
    </row>
    <row r="35" spans="2:13" ht="12.75">
      <c r="B35" s="1" t="str">
        <f>'Case Manager'!$B$59</f>
        <v>Base Case</v>
      </c>
      <c r="F35" s="51"/>
      <c r="G35" s="51"/>
      <c r="H35" s="54"/>
      <c r="I35" s="60">
        <v>0</v>
      </c>
      <c r="J35" s="60">
        <v>0</v>
      </c>
      <c r="K35" s="60">
        <v>0</v>
      </c>
      <c r="L35" s="60">
        <v>0</v>
      </c>
      <c r="M35" s="60">
        <v>0</v>
      </c>
    </row>
    <row r="36" spans="2:13" ht="12.75">
      <c r="B36" s="1" t="str">
        <f>'Case Manager'!$B$60</f>
        <v>Upside Case</v>
      </c>
      <c r="F36" s="51"/>
      <c r="G36" s="51"/>
      <c r="H36" s="54"/>
      <c r="I36" s="60">
        <v>0</v>
      </c>
      <c r="J36" s="60">
        <v>0</v>
      </c>
      <c r="K36" s="60">
        <v>0</v>
      </c>
      <c r="L36" s="60">
        <v>0</v>
      </c>
      <c r="M36" s="60">
        <v>0</v>
      </c>
    </row>
    <row r="37" spans="2:13" ht="12.75">
      <c r="B37" s="1" t="str">
        <f>'Case Manager'!$B$61</f>
        <v>Downside Case</v>
      </c>
      <c r="F37" s="51"/>
      <c r="G37" s="51"/>
      <c r="H37" s="54"/>
      <c r="I37" s="60">
        <v>0</v>
      </c>
      <c r="J37" s="60">
        <v>0</v>
      </c>
      <c r="K37" s="60">
        <v>0</v>
      </c>
      <c r="L37" s="60">
        <v>0</v>
      </c>
      <c r="M37" s="60">
        <v>0</v>
      </c>
    </row>
    <row r="38" spans="2:13" ht="12.75">
      <c r="B38" s="1" t="str">
        <f>'Case Manager'!$B$62</f>
        <v>Open Case #1</v>
      </c>
      <c r="F38" s="51"/>
      <c r="G38" s="51"/>
      <c r="H38" s="54"/>
      <c r="I38" s="60">
        <v>0</v>
      </c>
      <c r="J38" s="60">
        <v>0</v>
      </c>
      <c r="K38" s="60">
        <v>0</v>
      </c>
      <c r="L38" s="60">
        <v>0</v>
      </c>
      <c r="M38" s="60">
        <v>0</v>
      </c>
    </row>
    <row r="39" spans="2:14" ht="12.75">
      <c r="B39" s="10" t="str">
        <f>'Case Manager'!$B$63</f>
        <v>Open Case #2</v>
      </c>
      <c r="C39" s="10"/>
      <c r="D39" s="10"/>
      <c r="E39" s="10"/>
      <c r="F39" s="52"/>
      <c r="G39" s="52"/>
      <c r="H39" s="55"/>
      <c r="I39" s="61">
        <v>0</v>
      </c>
      <c r="J39" s="61">
        <v>0</v>
      </c>
      <c r="K39" s="61">
        <v>0</v>
      </c>
      <c r="L39" s="61">
        <v>0</v>
      </c>
      <c r="M39" s="61">
        <v>0</v>
      </c>
      <c r="N39" s="10"/>
    </row>
    <row r="40" spans="2:13" ht="12.75">
      <c r="B40" s="1" t="str">
        <f>CHOOSE('Case Manager'!$G$65,'Toys R Us.com'!B35,'Toys R Us.com'!B36,'Toys R Us.com'!B37,'Toys R Us.com'!B38,'Toys R Us.com'!B39)</f>
        <v>Base Case</v>
      </c>
      <c r="F40" s="9">
        <f>F42/F$16</f>
        <v>0.011764705882352941</v>
      </c>
      <c r="G40" s="9">
        <f>G42/G$16</f>
        <v>0.005390835579514825</v>
      </c>
      <c r="H40" s="27">
        <f>H42/H$16</f>
        <v>0</v>
      </c>
      <c r="I40" s="9">
        <f>CHOOSE('Case Manager'!$G$65,'Toys R Us.com'!I35,'Toys R Us.com'!I36,'Toys R Us.com'!I37,'Toys R Us.com'!I38,'Toys R Us.com'!I39)</f>
        <v>0</v>
      </c>
      <c r="J40" s="9">
        <f>CHOOSE('Case Manager'!$G$65,'Toys R Us.com'!J35,'Toys R Us.com'!J36,'Toys R Us.com'!J37,'Toys R Us.com'!J38,'Toys R Us.com'!J39)</f>
        <v>0</v>
      </c>
      <c r="K40" s="9">
        <f>CHOOSE('Case Manager'!$G$65,'Toys R Us.com'!K35,'Toys R Us.com'!K36,'Toys R Us.com'!K37,'Toys R Us.com'!K38,'Toys R Us.com'!K39)</f>
        <v>0</v>
      </c>
      <c r="L40" s="9">
        <f>CHOOSE('Case Manager'!$G$65,'Toys R Us.com'!L35,'Toys R Us.com'!L36,'Toys R Us.com'!L37,'Toys R Us.com'!L38,'Toys R Us.com'!L39)</f>
        <v>0</v>
      </c>
      <c r="M40" s="9">
        <f>CHOOSE('Case Manager'!$G$65,'Toys R Us.com'!M35,'Toys R Us.com'!M36,'Toys R Us.com'!M37,'Toys R Us.com'!M38,'Toys R Us.com'!M39)</f>
        <v>0</v>
      </c>
    </row>
    <row r="41" spans="6:13" ht="12.75">
      <c r="F41" s="9"/>
      <c r="G41" s="9"/>
      <c r="H41" s="27"/>
      <c r="I41" s="9"/>
      <c r="J41" s="9"/>
      <c r="K41" s="9"/>
      <c r="L41" s="9"/>
      <c r="M41" s="9"/>
    </row>
    <row r="42" spans="2:14" ht="13.5" thickBot="1">
      <c r="B42" s="58" t="s">
        <v>35</v>
      </c>
      <c r="C42" s="4"/>
      <c r="D42" s="4"/>
      <c r="E42" s="4"/>
      <c r="F42" s="56">
        <v>4</v>
      </c>
      <c r="G42" s="56">
        <v>2</v>
      </c>
      <c r="H42" s="59">
        <v>0</v>
      </c>
      <c r="I42" s="57">
        <f>I40*I16</f>
        <v>0</v>
      </c>
      <c r="J42" s="57">
        <f>J40*J16</f>
        <v>0</v>
      </c>
      <c r="K42" s="57">
        <f>K40*K16</f>
        <v>0</v>
      </c>
      <c r="L42" s="57">
        <f>L40*L16</f>
        <v>0</v>
      </c>
      <c r="M42" s="57">
        <f>M40*M16</f>
        <v>0</v>
      </c>
      <c r="N42" s="4"/>
    </row>
    <row r="43" ht="12.75">
      <c r="B43" s="5"/>
    </row>
    <row r="44" ht="13.5">
      <c r="B44" s="2" t="str">
        <f>B2</f>
        <v>Toys R Us.com</v>
      </c>
    </row>
    <row r="45" ht="12.75">
      <c r="B45" s="5"/>
    </row>
    <row r="46" ht="13.5">
      <c r="B46" s="2" t="str">
        <f>'Case Manager'!$D$65</f>
        <v>Base Case</v>
      </c>
    </row>
    <row r="47" spans="2:14" ht="14.25" thickBot="1">
      <c r="B47" s="3"/>
      <c r="C47" s="4"/>
      <c r="D47" s="4"/>
      <c r="E47" s="4"/>
      <c r="F47" s="4"/>
      <c r="G47" s="4"/>
      <c r="H47" s="4"/>
      <c r="I47" s="4"/>
      <c r="J47" s="4"/>
      <c r="K47" s="4"/>
      <c r="L47" s="4"/>
      <c r="M47" s="4"/>
      <c r="N47" s="4"/>
    </row>
    <row r="48" spans="2:14" ht="13.5">
      <c r="B48" s="5" t="str">
        <f>'Case Manager'!$K$6</f>
        <v>For the FYE January 31</v>
      </c>
      <c r="F48" s="12" t="str">
        <f>'Consolidated Financial Results'!F7</f>
        <v>Actual</v>
      </c>
      <c r="G48" s="13"/>
      <c r="H48" s="14"/>
      <c r="I48" s="12" t="str">
        <f>'Consolidated Financial Results'!I7</f>
        <v>Projected</v>
      </c>
      <c r="J48" s="12"/>
      <c r="K48" s="12"/>
      <c r="L48" s="13"/>
      <c r="M48" s="6"/>
      <c r="N48" s="33" t="str">
        <f>'Consolidated Financial Results'!N7</f>
        <v>CAGR</v>
      </c>
    </row>
    <row r="49" spans="2:14" ht="12.75">
      <c r="B49" s="7"/>
      <c r="C49" s="7"/>
      <c r="D49" s="7"/>
      <c r="E49" s="7"/>
      <c r="F49" s="15">
        <f>'Consolidated Financial Results'!F8</f>
        <v>2003</v>
      </c>
      <c r="G49" s="15">
        <f>'Consolidated Financial Results'!G8</f>
        <v>2004</v>
      </c>
      <c r="H49" s="16">
        <f>'Consolidated Financial Results'!H8</f>
        <v>2005</v>
      </c>
      <c r="I49" s="15">
        <f>'Consolidated Financial Results'!I8</f>
        <v>2006</v>
      </c>
      <c r="J49" s="15">
        <f>'Consolidated Financial Results'!J8</f>
        <v>2007</v>
      </c>
      <c r="K49" s="15">
        <f>'Consolidated Financial Results'!K8</f>
        <v>2008</v>
      </c>
      <c r="L49" s="15">
        <f>'Consolidated Financial Results'!L8</f>
        <v>2009</v>
      </c>
      <c r="M49" s="32">
        <f>'Consolidated Financial Results'!M8</f>
        <v>2010</v>
      </c>
      <c r="N49" s="34" t="str">
        <f>'Consolidated Financial Results'!N8</f>
        <v>'05-'10</v>
      </c>
    </row>
    <row r="50" spans="2:14" ht="12.75">
      <c r="B50" s="1" t="str">
        <f>B16</f>
        <v>Net Sales</v>
      </c>
      <c r="F50" s="11">
        <f aca="true" t="shared" si="0" ref="F50:M50">F16</f>
        <v>340</v>
      </c>
      <c r="G50" s="11">
        <f t="shared" si="0"/>
        <v>371</v>
      </c>
      <c r="H50" s="24">
        <f t="shared" si="0"/>
        <v>366</v>
      </c>
      <c r="I50" s="11">
        <f t="shared" si="0"/>
        <v>366</v>
      </c>
      <c r="J50" s="11">
        <f t="shared" si="0"/>
        <v>366</v>
      </c>
      <c r="K50" s="11">
        <f t="shared" si="0"/>
        <v>366</v>
      </c>
      <c r="L50" s="11">
        <f t="shared" si="0"/>
        <v>366</v>
      </c>
      <c r="M50" s="11">
        <f t="shared" si="0"/>
        <v>366</v>
      </c>
      <c r="N50" s="78">
        <f>(M50/H50)^(1/5)-1</f>
        <v>0</v>
      </c>
    </row>
    <row r="51" spans="2:14" ht="12.75">
      <c r="B51" s="18" t="s">
        <v>5</v>
      </c>
      <c r="G51" s="9">
        <f aca="true" t="shared" si="1" ref="G51:M51">G50/F50-1</f>
        <v>0.09117647058823519</v>
      </c>
      <c r="H51" s="27">
        <f t="shared" si="1"/>
        <v>-0.013477088948787075</v>
      </c>
      <c r="I51" s="9">
        <f t="shared" si="1"/>
        <v>0</v>
      </c>
      <c r="J51" s="9">
        <f t="shared" si="1"/>
        <v>0</v>
      </c>
      <c r="K51" s="9">
        <f t="shared" si="1"/>
        <v>0</v>
      </c>
      <c r="L51" s="9">
        <f t="shared" si="1"/>
        <v>0</v>
      </c>
      <c r="M51" s="9">
        <f t="shared" si="1"/>
        <v>0</v>
      </c>
      <c r="N51" s="78"/>
    </row>
    <row r="52" spans="2:14" ht="12.75">
      <c r="B52" s="18"/>
      <c r="G52" s="9"/>
      <c r="H52" s="27"/>
      <c r="I52" s="9"/>
      <c r="J52" s="9"/>
      <c r="K52" s="9"/>
      <c r="L52" s="9"/>
      <c r="M52" s="9"/>
      <c r="N52" s="76"/>
    </row>
    <row r="53" spans="2:14" ht="12.75">
      <c r="B53" s="35" t="s">
        <v>36</v>
      </c>
      <c r="F53" s="11">
        <f aca="true" t="shared" si="2" ref="F53:M53">F50-F57</f>
        <v>373</v>
      </c>
      <c r="G53" s="11">
        <f t="shared" si="2"/>
        <v>387</v>
      </c>
      <c r="H53" s="24">
        <f t="shared" si="2"/>
        <v>365</v>
      </c>
      <c r="I53" s="11">
        <f t="shared" si="2"/>
        <v>365</v>
      </c>
      <c r="J53" s="11">
        <f t="shared" si="2"/>
        <v>365</v>
      </c>
      <c r="K53" s="11">
        <f t="shared" si="2"/>
        <v>365</v>
      </c>
      <c r="L53" s="11">
        <f t="shared" si="2"/>
        <v>365</v>
      </c>
      <c r="M53" s="11">
        <f t="shared" si="2"/>
        <v>365</v>
      </c>
      <c r="N53" s="78">
        <f>(M53/H53)^(1/5)-1</f>
        <v>0</v>
      </c>
    </row>
    <row r="54" spans="2:14" ht="12.75">
      <c r="B54" s="18" t="s">
        <v>5</v>
      </c>
      <c r="G54" s="9">
        <f aca="true" t="shared" si="3" ref="G54:M54">G53/F53-1</f>
        <v>0.03753351206434319</v>
      </c>
      <c r="H54" s="27">
        <f t="shared" si="3"/>
        <v>-0.056847545219638196</v>
      </c>
      <c r="I54" s="9">
        <f t="shared" si="3"/>
        <v>0</v>
      </c>
      <c r="J54" s="9">
        <f t="shared" si="3"/>
        <v>0</v>
      </c>
      <c r="K54" s="9">
        <f t="shared" si="3"/>
        <v>0</v>
      </c>
      <c r="L54" s="9">
        <f t="shared" si="3"/>
        <v>0</v>
      </c>
      <c r="M54" s="9">
        <f t="shared" si="3"/>
        <v>0</v>
      </c>
      <c r="N54" s="76"/>
    </row>
    <row r="55" spans="2:14" ht="12.75">
      <c r="B55" s="18" t="s">
        <v>8</v>
      </c>
      <c r="F55" s="9">
        <f aca="true" t="shared" si="4" ref="F55:M55">F53/F$50</f>
        <v>1.0970588235294119</v>
      </c>
      <c r="G55" s="9">
        <f t="shared" si="4"/>
        <v>1.0431266846361187</v>
      </c>
      <c r="H55" s="27">
        <f t="shared" si="4"/>
        <v>0.9972677595628415</v>
      </c>
      <c r="I55" s="9">
        <f t="shared" si="4"/>
        <v>0.9972677595628415</v>
      </c>
      <c r="J55" s="9">
        <f t="shared" si="4"/>
        <v>0.9972677595628415</v>
      </c>
      <c r="K55" s="9">
        <f t="shared" si="4"/>
        <v>0.9972677595628415</v>
      </c>
      <c r="L55" s="9">
        <f t="shared" si="4"/>
        <v>0.9972677595628415</v>
      </c>
      <c r="M55" s="9">
        <f t="shared" si="4"/>
        <v>0.9972677595628415</v>
      </c>
      <c r="N55" s="76"/>
    </row>
    <row r="56" spans="8:14" ht="12.75">
      <c r="H56" s="28"/>
      <c r="N56" s="76"/>
    </row>
    <row r="57" spans="2:14" ht="12.75">
      <c r="B57" s="1" t="str">
        <f>B29</f>
        <v>EBITDA</v>
      </c>
      <c r="F57" s="11">
        <f aca="true" t="shared" si="5" ref="F57:M57">F29</f>
        <v>-33</v>
      </c>
      <c r="G57" s="11">
        <f t="shared" si="5"/>
        <v>-16</v>
      </c>
      <c r="H57" s="24">
        <f t="shared" si="5"/>
        <v>1</v>
      </c>
      <c r="I57" s="11">
        <f t="shared" si="5"/>
        <v>1</v>
      </c>
      <c r="J57" s="11">
        <f t="shared" si="5"/>
        <v>1</v>
      </c>
      <c r="K57" s="11">
        <f t="shared" si="5"/>
        <v>1</v>
      </c>
      <c r="L57" s="11">
        <f t="shared" si="5"/>
        <v>1</v>
      </c>
      <c r="M57" s="11">
        <f t="shared" si="5"/>
        <v>1</v>
      </c>
      <c r="N57" s="78">
        <f>(M57/H57)^(1/5)-1</f>
        <v>0</v>
      </c>
    </row>
    <row r="58" spans="2:14" ht="12.75">
      <c r="B58" s="18" t="s">
        <v>5</v>
      </c>
      <c r="G58" s="9">
        <f aca="true" t="shared" si="6" ref="G58:M58">G57/F57-1</f>
        <v>-0.5151515151515151</v>
      </c>
      <c r="H58" s="27">
        <f t="shared" si="6"/>
        <v>-1.0625</v>
      </c>
      <c r="I58" s="9">
        <f t="shared" si="6"/>
        <v>0</v>
      </c>
      <c r="J58" s="9">
        <f t="shared" si="6"/>
        <v>0</v>
      </c>
      <c r="K58" s="9">
        <f t="shared" si="6"/>
        <v>0</v>
      </c>
      <c r="L58" s="9">
        <f t="shared" si="6"/>
        <v>0</v>
      </c>
      <c r="M58" s="9">
        <f t="shared" si="6"/>
        <v>0</v>
      </c>
      <c r="N58" s="76"/>
    </row>
    <row r="59" spans="2:14" ht="12.75">
      <c r="B59" s="18" t="s">
        <v>8</v>
      </c>
      <c r="F59" s="9">
        <f aca="true" t="shared" si="7" ref="F59:M59">F57/F$50</f>
        <v>-0.09705882352941177</v>
      </c>
      <c r="G59" s="9">
        <f t="shared" si="7"/>
        <v>-0.0431266846361186</v>
      </c>
      <c r="H59" s="27">
        <f t="shared" si="7"/>
        <v>0.00273224043715847</v>
      </c>
      <c r="I59" s="9">
        <f t="shared" si="7"/>
        <v>0.00273224043715847</v>
      </c>
      <c r="J59" s="9">
        <f t="shared" si="7"/>
        <v>0.00273224043715847</v>
      </c>
      <c r="K59" s="9">
        <f t="shared" si="7"/>
        <v>0.00273224043715847</v>
      </c>
      <c r="L59" s="9">
        <f t="shared" si="7"/>
        <v>0.00273224043715847</v>
      </c>
      <c r="M59" s="9">
        <f t="shared" si="7"/>
        <v>0.00273224043715847</v>
      </c>
      <c r="N59" s="76"/>
    </row>
    <row r="60" spans="2:14" ht="12.75">
      <c r="B60" s="18"/>
      <c r="C60" s="8"/>
      <c r="D60" s="8"/>
      <c r="E60" s="8"/>
      <c r="F60" s="31"/>
      <c r="G60" s="31"/>
      <c r="H60" s="27"/>
      <c r="I60" s="31"/>
      <c r="J60" s="31"/>
      <c r="K60" s="31"/>
      <c r="L60" s="31"/>
      <c r="M60" s="31"/>
      <c r="N60" s="76"/>
    </row>
    <row r="61" spans="2:14" ht="12.75">
      <c r="B61" s="10" t="str">
        <f>B42</f>
        <v>D&amp;A</v>
      </c>
      <c r="C61" s="10"/>
      <c r="D61" s="10"/>
      <c r="E61" s="10"/>
      <c r="F61" s="17">
        <f aca="true" t="shared" si="8" ref="F61:M61">F42</f>
        <v>4</v>
      </c>
      <c r="G61" s="17">
        <f t="shared" si="8"/>
        <v>2</v>
      </c>
      <c r="H61" s="26">
        <f t="shared" si="8"/>
        <v>0</v>
      </c>
      <c r="I61" s="17">
        <f t="shared" si="8"/>
        <v>0</v>
      </c>
      <c r="J61" s="17">
        <f t="shared" si="8"/>
        <v>0</v>
      </c>
      <c r="K61" s="17">
        <f t="shared" si="8"/>
        <v>0</v>
      </c>
      <c r="L61" s="17">
        <f t="shared" si="8"/>
        <v>0</v>
      </c>
      <c r="M61" s="17">
        <f t="shared" si="8"/>
        <v>0</v>
      </c>
      <c r="N61" s="79"/>
    </row>
    <row r="62" spans="2:14" ht="12.75">
      <c r="B62" s="35" t="s">
        <v>17</v>
      </c>
      <c r="F62" s="11">
        <f aca="true" t="shared" si="9" ref="F62:M62">F57-F61</f>
        <v>-37</v>
      </c>
      <c r="G62" s="11">
        <f t="shared" si="9"/>
        <v>-18</v>
      </c>
      <c r="H62" s="24">
        <f t="shared" si="9"/>
        <v>1</v>
      </c>
      <c r="I62" s="11">
        <f t="shared" si="9"/>
        <v>1</v>
      </c>
      <c r="J62" s="11">
        <f t="shared" si="9"/>
        <v>1</v>
      </c>
      <c r="K62" s="11">
        <f t="shared" si="9"/>
        <v>1</v>
      </c>
      <c r="L62" s="11">
        <f t="shared" si="9"/>
        <v>1</v>
      </c>
      <c r="M62" s="11">
        <f t="shared" si="9"/>
        <v>1</v>
      </c>
      <c r="N62" s="78">
        <f>(M62/H62)^(1/5)-1</f>
        <v>0</v>
      </c>
    </row>
    <row r="63" spans="2:13" ht="12.75">
      <c r="B63" s="18" t="s">
        <v>5</v>
      </c>
      <c r="G63" s="9">
        <f aca="true" t="shared" si="10" ref="G63:M63">G62/F62-1</f>
        <v>-0.5135135135135135</v>
      </c>
      <c r="H63" s="27">
        <f t="shared" si="10"/>
        <v>-1.0555555555555556</v>
      </c>
      <c r="I63" s="9">
        <f t="shared" si="10"/>
        <v>0</v>
      </c>
      <c r="J63" s="9">
        <f t="shared" si="10"/>
        <v>0</v>
      </c>
      <c r="K63" s="9">
        <f t="shared" si="10"/>
        <v>0</v>
      </c>
      <c r="L63" s="9">
        <f t="shared" si="10"/>
        <v>0</v>
      </c>
      <c r="M63" s="9">
        <f t="shared" si="10"/>
        <v>0</v>
      </c>
    </row>
    <row r="64" spans="2:14" ht="13.5" thickBot="1">
      <c r="B64" s="19" t="s">
        <v>8</v>
      </c>
      <c r="C64" s="4"/>
      <c r="D64" s="4"/>
      <c r="E64" s="4"/>
      <c r="F64" s="20">
        <f aca="true" t="shared" si="11" ref="F64:M64">F62/F$50</f>
        <v>-0.10882352941176471</v>
      </c>
      <c r="G64" s="20">
        <f t="shared" si="11"/>
        <v>-0.04851752021563342</v>
      </c>
      <c r="H64" s="29">
        <f t="shared" si="11"/>
        <v>0.00273224043715847</v>
      </c>
      <c r="I64" s="20">
        <f t="shared" si="11"/>
        <v>0.00273224043715847</v>
      </c>
      <c r="J64" s="20">
        <f t="shared" si="11"/>
        <v>0.00273224043715847</v>
      </c>
      <c r="K64" s="20">
        <f t="shared" si="11"/>
        <v>0.00273224043715847</v>
      </c>
      <c r="L64" s="20">
        <f t="shared" si="11"/>
        <v>0.00273224043715847</v>
      </c>
      <c r="M64" s="20">
        <f t="shared" si="11"/>
        <v>0.00273224043715847</v>
      </c>
      <c r="N64" s="4"/>
    </row>
  </sheetData>
  <sheetProtection/>
  <printOptions/>
  <pageMargins left="0.5" right="0.5" top="0.5" bottom="0.5" header="0.5" footer="0.5"/>
  <pageSetup horizontalDpi="600" verticalDpi="600" orientation="landscape" scale="90" r:id="rId1"/>
  <headerFooter alignWithMargins="0">
    <oddFooter>&amp;R&amp;"Times New Roman,Regular"&amp;8Page &amp;P &amp;D / &amp;T</oddFooter>
  </headerFooter>
</worksheet>
</file>

<file path=xl/worksheets/sheet12.xml><?xml version="1.0" encoding="utf-8"?>
<worksheet xmlns="http://schemas.openxmlformats.org/spreadsheetml/2006/main" xmlns:r="http://schemas.openxmlformats.org/officeDocument/2006/relationships">
  <dimension ref="B2:N65"/>
  <sheetViews>
    <sheetView showGridLines="0" zoomScalePageLayoutView="0" workbookViewId="0" topLeftCell="A1">
      <selection activeCell="A1" sqref="A1"/>
    </sheetView>
  </sheetViews>
  <sheetFormatPr defaultColWidth="10.7109375" defaultRowHeight="12.75"/>
  <cols>
    <col min="1" max="16384" width="10.7109375" style="1" customWidth="1"/>
  </cols>
  <sheetData>
    <row r="2" ht="13.5">
      <c r="B2" s="50" t="s">
        <v>42</v>
      </c>
    </row>
    <row r="3" ht="12.75">
      <c r="B3" s="5" t="str">
        <f>'Case Manager'!$K$5</f>
        <v>($ in millions)</v>
      </c>
    </row>
    <row r="4" ht="12.75">
      <c r="B4" s="5"/>
    </row>
    <row r="5" ht="13.5">
      <c r="B5" s="50" t="s">
        <v>32</v>
      </c>
    </row>
    <row r="6" spans="2:14" ht="14.25" thickBot="1">
      <c r="B6" s="3"/>
      <c r="C6" s="4"/>
      <c r="D6" s="4"/>
      <c r="E6" s="4"/>
      <c r="F6" s="4"/>
      <c r="G6" s="4"/>
      <c r="H6" s="4"/>
      <c r="I6" s="4"/>
      <c r="J6" s="4"/>
      <c r="K6" s="4"/>
      <c r="L6" s="4"/>
      <c r="M6" s="4"/>
      <c r="N6" s="4"/>
    </row>
    <row r="7" spans="2:14" ht="13.5">
      <c r="B7" s="5" t="str">
        <f>'Case Manager'!$K$6</f>
        <v>For the FYE January 31</v>
      </c>
      <c r="F7" s="12" t="str">
        <f>'Consolidated Financial Results'!$F$7</f>
        <v>Actual</v>
      </c>
      <c r="G7" s="13"/>
      <c r="H7" s="53"/>
      <c r="I7" s="12" t="str">
        <f>'Consolidated Financial Results'!$I$7</f>
        <v>Projected</v>
      </c>
      <c r="J7" s="12"/>
      <c r="K7" s="12"/>
      <c r="L7" s="13"/>
      <c r="M7" s="6"/>
      <c r="N7" s="33"/>
    </row>
    <row r="8" spans="2:14" ht="12.75">
      <c r="B8" s="7"/>
      <c r="C8" s="7"/>
      <c r="D8" s="7"/>
      <c r="E8" s="7"/>
      <c r="F8" s="15">
        <f>'Consolidated Financial Results'!$F$8</f>
        <v>2003</v>
      </c>
      <c r="G8" s="15">
        <f>'Consolidated Financial Results'!$G$8</f>
        <v>2004</v>
      </c>
      <c r="H8" s="16">
        <f>'Consolidated Financial Results'!$H$8</f>
        <v>2005</v>
      </c>
      <c r="I8" s="15">
        <f>'Consolidated Financial Results'!$I$8</f>
        <v>2006</v>
      </c>
      <c r="J8" s="15">
        <f>'Consolidated Financial Results'!$J$8</f>
        <v>2007</v>
      </c>
      <c r="K8" s="15">
        <f>'Consolidated Financial Results'!$K$8</f>
        <v>2008</v>
      </c>
      <c r="L8" s="15">
        <f>'Consolidated Financial Results'!$L$8</f>
        <v>2009</v>
      </c>
      <c r="M8" s="32">
        <f>'Consolidated Financial Results'!$M$8</f>
        <v>2010</v>
      </c>
      <c r="N8" s="34"/>
    </row>
    <row r="9" spans="2:13" ht="12.75">
      <c r="B9" s="1" t="str">
        <f>'Case Manager'!$B$59</f>
        <v>Base Case</v>
      </c>
      <c r="F9" s="51"/>
      <c r="G9" s="51"/>
      <c r="H9" s="54"/>
      <c r="I9" s="60">
        <v>-1</v>
      </c>
      <c r="J9" s="60">
        <v>-1</v>
      </c>
      <c r="K9" s="60">
        <v>-1</v>
      </c>
      <c r="L9" s="60">
        <v>-1</v>
      </c>
      <c r="M9" s="60">
        <v>-1</v>
      </c>
    </row>
    <row r="10" spans="2:13" ht="12.75">
      <c r="B10" s="1" t="str">
        <f>'Case Manager'!$B$60</f>
        <v>Upside Case</v>
      </c>
      <c r="F10" s="51"/>
      <c r="G10" s="51"/>
      <c r="H10" s="54"/>
      <c r="I10" s="60">
        <v>-1</v>
      </c>
      <c r="J10" s="60">
        <v>-1</v>
      </c>
      <c r="K10" s="60">
        <v>-1</v>
      </c>
      <c r="L10" s="60">
        <v>-1</v>
      </c>
      <c r="M10" s="60">
        <v>-1</v>
      </c>
    </row>
    <row r="11" spans="2:13" ht="12.75">
      <c r="B11" s="1" t="str">
        <f>'Case Manager'!$B$61</f>
        <v>Downside Case</v>
      </c>
      <c r="F11" s="51"/>
      <c r="G11" s="51"/>
      <c r="H11" s="54"/>
      <c r="I11" s="60">
        <v>-1</v>
      </c>
      <c r="J11" s="60">
        <v>-1</v>
      </c>
      <c r="K11" s="60">
        <v>-1</v>
      </c>
      <c r="L11" s="60">
        <v>-1</v>
      </c>
      <c r="M11" s="60">
        <v>-1</v>
      </c>
    </row>
    <row r="12" spans="2:13" ht="12.75">
      <c r="B12" s="1" t="str">
        <f>'Case Manager'!$B$62</f>
        <v>Open Case #1</v>
      </c>
      <c r="F12" s="51"/>
      <c r="G12" s="51"/>
      <c r="H12" s="54"/>
      <c r="I12" s="60">
        <v>-1</v>
      </c>
      <c r="J12" s="60">
        <v>-1</v>
      </c>
      <c r="K12" s="60">
        <v>-1</v>
      </c>
      <c r="L12" s="60">
        <v>-1</v>
      </c>
      <c r="M12" s="60">
        <v>-1</v>
      </c>
    </row>
    <row r="13" spans="2:14" ht="12.75">
      <c r="B13" s="10" t="str">
        <f>'Case Manager'!$B$63</f>
        <v>Open Case #2</v>
      </c>
      <c r="C13" s="10"/>
      <c r="D13" s="10"/>
      <c r="E13" s="10"/>
      <c r="F13" s="52"/>
      <c r="G13" s="52"/>
      <c r="H13" s="55"/>
      <c r="I13" s="61">
        <v>-1</v>
      </c>
      <c r="J13" s="61">
        <v>-1</v>
      </c>
      <c r="K13" s="61">
        <v>-1</v>
      </c>
      <c r="L13" s="61">
        <v>-1</v>
      </c>
      <c r="M13" s="61">
        <v>-1</v>
      </c>
      <c r="N13" s="10"/>
    </row>
    <row r="14" spans="2:13" ht="12.75">
      <c r="B14" s="1" t="str">
        <f>CHOOSE('Case Manager'!$G$65,'Kids R Us'!B9,'Kids R Us'!B10,'Kids R Us'!B11,'Kids R Us'!B12,'Kids R Us'!B13)</f>
        <v>Base Case</v>
      </c>
      <c r="F14" s="9"/>
      <c r="G14" s="9">
        <f>G16/F16-1</f>
        <v>-0.08590308370044053</v>
      </c>
      <c r="H14" s="27">
        <f>H16/G16-1</f>
        <v>-0.9325301204819277</v>
      </c>
      <c r="I14" s="9">
        <f>CHOOSE('Case Manager'!$G$65,'Kids R Us'!I9,'Kids R Us'!I10,'Kids R Us'!I11,'Kids R Us'!I12,'Kids R Us'!I13)</f>
        <v>-1</v>
      </c>
      <c r="J14" s="9">
        <f>CHOOSE('Case Manager'!$G$65,'Kids R Us'!J9,'Kids R Us'!J10,'Kids R Us'!J11,'Kids R Us'!J12,'Kids R Us'!J13)</f>
        <v>-1</v>
      </c>
      <c r="K14" s="9">
        <f>CHOOSE('Case Manager'!$G$65,'Kids R Us'!K9,'Kids R Us'!K10,'Kids R Us'!K11,'Kids R Us'!K12,'Kids R Us'!K13)</f>
        <v>-1</v>
      </c>
      <c r="L14" s="9">
        <f>CHOOSE('Case Manager'!$G$65,'Kids R Us'!L9,'Kids R Us'!L10,'Kids R Us'!L11,'Kids R Us'!L12,'Kids R Us'!L13)</f>
        <v>-1</v>
      </c>
      <c r="M14" s="9">
        <f>CHOOSE('Case Manager'!$G$65,'Kids R Us'!M9,'Kids R Us'!M10,'Kids R Us'!M11,'Kids R Us'!M12,'Kids R Us'!M13)</f>
        <v>-1</v>
      </c>
    </row>
    <row r="15" spans="6:13" ht="12.75">
      <c r="F15" s="9"/>
      <c r="G15" s="9"/>
      <c r="H15" s="27"/>
      <c r="I15" s="9"/>
      <c r="J15" s="9"/>
      <c r="K15" s="9"/>
      <c r="L15" s="9"/>
      <c r="M15" s="9"/>
    </row>
    <row r="16" spans="2:14" ht="13.5" thickBot="1">
      <c r="B16" s="58" t="s">
        <v>31</v>
      </c>
      <c r="C16" s="4"/>
      <c r="D16" s="4"/>
      <c r="E16" s="4"/>
      <c r="F16" s="56">
        <v>454</v>
      </c>
      <c r="G16" s="56">
        <v>415</v>
      </c>
      <c r="H16" s="59">
        <v>28</v>
      </c>
      <c r="I16" s="57">
        <f>H16*(1+I14)</f>
        <v>0</v>
      </c>
      <c r="J16" s="57">
        <f>I16*(1+J14)</f>
        <v>0</v>
      </c>
      <c r="K16" s="57">
        <f>J16*(1+K14)</f>
        <v>0</v>
      </c>
      <c r="L16" s="57">
        <f>K16*(1+L14)</f>
        <v>0</v>
      </c>
      <c r="M16" s="57">
        <f>L16*(1+M14)</f>
        <v>0</v>
      </c>
      <c r="N16" s="4"/>
    </row>
    <row r="17" ht="12.75">
      <c r="B17" s="5"/>
    </row>
    <row r="18" ht="13.5">
      <c r="B18" s="50" t="s">
        <v>33</v>
      </c>
    </row>
    <row r="19" spans="2:14" ht="14.25" thickBot="1">
      <c r="B19" s="3"/>
      <c r="C19" s="4"/>
      <c r="D19" s="4"/>
      <c r="E19" s="4"/>
      <c r="F19" s="4"/>
      <c r="G19" s="4"/>
      <c r="H19" s="4"/>
      <c r="I19" s="4"/>
      <c r="J19" s="4"/>
      <c r="K19" s="4"/>
      <c r="L19" s="4"/>
      <c r="M19" s="4"/>
      <c r="N19" s="4"/>
    </row>
    <row r="20" spans="2:14" ht="13.5">
      <c r="B20" s="5" t="str">
        <f>'Case Manager'!$K$6</f>
        <v>For the FYE January 31</v>
      </c>
      <c r="F20" s="12" t="str">
        <f>'Consolidated Financial Results'!$F$7</f>
        <v>Actual</v>
      </c>
      <c r="G20" s="13"/>
      <c r="H20" s="53"/>
      <c r="I20" s="12" t="str">
        <f>'Consolidated Financial Results'!$I$7</f>
        <v>Projected</v>
      </c>
      <c r="J20" s="12"/>
      <c r="K20" s="12"/>
      <c r="L20" s="13"/>
      <c r="M20" s="6"/>
      <c r="N20" s="33"/>
    </row>
    <row r="21" spans="2:14" ht="12.75">
      <c r="B21" s="7"/>
      <c r="C21" s="7"/>
      <c r="D21" s="7"/>
      <c r="E21" s="7"/>
      <c r="F21" s="15">
        <f>'Consolidated Financial Results'!$F$8</f>
        <v>2003</v>
      </c>
      <c r="G21" s="15">
        <f>'Consolidated Financial Results'!$G$8</f>
        <v>2004</v>
      </c>
      <c r="H21" s="16">
        <f>'Consolidated Financial Results'!$H$8</f>
        <v>2005</v>
      </c>
      <c r="I21" s="15">
        <f>'Consolidated Financial Results'!$I$8</f>
        <v>2006</v>
      </c>
      <c r="J21" s="15">
        <f>'Consolidated Financial Results'!$J$8</f>
        <v>2007</v>
      </c>
      <c r="K21" s="15">
        <f>'Consolidated Financial Results'!$K$8</f>
        <v>2008</v>
      </c>
      <c r="L21" s="15">
        <f>'Consolidated Financial Results'!$L$8</f>
        <v>2009</v>
      </c>
      <c r="M21" s="32">
        <f>'Consolidated Financial Results'!$M$8</f>
        <v>2010</v>
      </c>
      <c r="N21" s="34"/>
    </row>
    <row r="22" spans="2:13" ht="12.75">
      <c r="B22" s="1" t="str">
        <f>'Case Manager'!$B$59</f>
        <v>Base Case</v>
      </c>
      <c r="F22" s="51"/>
      <c r="G22" s="51"/>
      <c r="H22" s="54"/>
      <c r="I22" s="60">
        <v>0</v>
      </c>
      <c r="J22" s="60">
        <v>0</v>
      </c>
      <c r="K22" s="60">
        <v>0</v>
      </c>
      <c r="L22" s="60">
        <v>0</v>
      </c>
      <c r="M22" s="60">
        <v>0</v>
      </c>
    </row>
    <row r="23" spans="2:13" ht="12.75">
      <c r="B23" s="1" t="str">
        <f>'Case Manager'!$B$60</f>
        <v>Upside Case</v>
      </c>
      <c r="F23" s="51"/>
      <c r="G23" s="51"/>
      <c r="H23" s="54"/>
      <c r="I23" s="60">
        <v>0</v>
      </c>
      <c r="J23" s="60">
        <v>0</v>
      </c>
      <c r="K23" s="60">
        <v>0</v>
      </c>
      <c r="L23" s="60">
        <v>0</v>
      </c>
      <c r="M23" s="60">
        <v>0</v>
      </c>
    </row>
    <row r="24" spans="2:13" ht="12.75">
      <c r="B24" s="1" t="str">
        <f>'Case Manager'!$B$61</f>
        <v>Downside Case</v>
      </c>
      <c r="F24" s="51"/>
      <c r="G24" s="51"/>
      <c r="H24" s="54"/>
      <c r="I24" s="60">
        <v>0</v>
      </c>
      <c r="J24" s="60">
        <v>0</v>
      </c>
      <c r="K24" s="60">
        <v>0</v>
      </c>
      <c r="L24" s="60">
        <v>0</v>
      </c>
      <c r="M24" s="60">
        <v>0</v>
      </c>
    </row>
    <row r="25" spans="2:13" ht="12.75">
      <c r="B25" s="1" t="str">
        <f>'Case Manager'!$B$62</f>
        <v>Open Case #1</v>
      </c>
      <c r="F25" s="51"/>
      <c r="G25" s="51"/>
      <c r="H25" s="54"/>
      <c r="I25" s="60">
        <v>0</v>
      </c>
      <c r="J25" s="60">
        <v>0</v>
      </c>
      <c r="K25" s="60">
        <v>0</v>
      </c>
      <c r="L25" s="60">
        <v>0</v>
      </c>
      <c r="M25" s="60">
        <v>0</v>
      </c>
    </row>
    <row r="26" spans="2:14" ht="12.75">
      <c r="B26" s="10" t="str">
        <f>'Case Manager'!$B$63</f>
        <v>Open Case #2</v>
      </c>
      <c r="C26" s="10"/>
      <c r="D26" s="10"/>
      <c r="E26" s="10"/>
      <c r="F26" s="52"/>
      <c r="G26" s="52"/>
      <c r="H26" s="55"/>
      <c r="I26" s="61">
        <v>0</v>
      </c>
      <c r="J26" s="61">
        <v>0</v>
      </c>
      <c r="K26" s="61">
        <v>0</v>
      </c>
      <c r="L26" s="61">
        <v>0</v>
      </c>
      <c r="M26" s="61">
        <v>0</v>
      </c>
      <c r="N26" s="10"/>
    </row>
    <row r="27" spans="2:13" ht="12.75">
      <c r="B27" s="1" t="str">
        <f>CHOOSE('Case Manager'!$G$65,'Kids R Us'!B22,'Kids R Us'!B23,'Kids R Us'!B24,'Kids R Us'!B25,'Kids R Us'!B26)</f>
        <v>Base Case</v>
      </c>
      <c r="F27" s="9">
        <f>F29/F$16</f>
        <v>-0.022026431718061675</v>
      </c>
      <c r="G27" s="9">
        <f>G29/G$16</f>
        <v>-0.06506024096385542</v>
      </c>
      <c r="H27" s="27">
        <f>H29/H$16</f>
        <v>-0.7142857142857143</v>
      </c>
      <c r="I27" s="9">
        <f>CHOOSE('Case Manager'!$G$65,'Kids R Us'!I22,'Kids R Us'!I23,'Kids R Us'!I24,'Kids R Us'!I25,'Kids R Us'!I26)</f>
        <v>0</v>
      </c>
      <c r="J27" s="9">
        <f>CHOOSE('Case Manager'!$G$65,'Kids R Us'!J22,'Kids R Us'!J23,'Kids R Us'!J24,'Kids R Us'!J25,'Kids R Us'!J26)</f>
        <v>0</v>
      </c>
      <c r="K27" s="9">
        <f>CHOOSE('Case Manager'!$G$65,'Kids R Us'!K22,'Kids R Us'!K23,'Kids R Us'!K24,'Kids R Us'!K25,'Kids R Us'!K26)</f>
        <v>0</v>
      </c>
      <c r="L27" s="9">
        <f>CHOOSE('Case Manager'!$G$65,'Kids R Us'!L22,'Kids R Us'!L23,'Kids R Us'!L24,'Kids R Us'!L25,'Kids R Us'!L26)</f>
        <v>0</v>
      </c>
      <c r="M27" s="9">
        <f>CHOOSE('Case Manager'!$G$65,'Kids R Us'!M22,'Kids R Us'!M23,'Kids R Us'!M24,'Kids R Us'!M25,'Kids R Us'!M26)</f>
        <v>0</v>
      </c>
    </row>
    <row r="28" spans="6:13" ht="12.75">
      <c r="F28" s="9"/>
      <c r="G28" s="9"/>
      <c r="H28" s="27"/>
      <c r="I28" s="9"/>
      <c r="J28" s="9"/>
      <c r="K28" s="9"/>
      <c r="L28" s="9"/>
      <c r="M28" s="9"/>
    </row>
    <row r="29" spans="2:14" ht="13.5" thickBot="1">
      <c r="B29" s="58" t="s">
        <v>11</v>
      </c>
      <c r="C29" s="4"/>
      <c r="D29" s="4"/>
      <c r="E29" s="4"/>
      <c r="F29" s="56">
        <v>-10</v>
      </c>
      <c r="G29" s="56">
        <v>-27</v>
      </c>
      <c r="H29" s="59">
        <v>-20</v>
      </c>
      <c r="I29" s="57">
        <f>I27*I16</f>
        <v>0</v>
      </c>
      <c r="J29" s="57">
        <f>J27*J16</f>
        <v>0</v>
      </c>
      <c r="K29" s="57">
        <f>K27*K16</f>
        <v>0</v>
      </c>
      <c r="L29" s="57">
        <f>L27*L16</f>
        <v>0</v>
      </c>
      <c r="M29" s="57">
        <f>M27*M16</f>
        <v>0</v>
      </c>
      <c r="N29" s="4"/>
    </row>
    <row r="30" ht="12.75">
      <c r="B30" s="5"/>
    </row>
    <row r="31" ht="13.5">
      <c r="B31" s="50" t="s">
        <v>34</v>
      </c>
    </row>
    <row r="32" spans="2:14" ht="14.25" thickBot="1">
      <c r="B32" s="3"/>
      <c r="C32" s="4"/>
      <c r="D32" s="4"/>
      <c r="E32" s="4"/>
      <c r="F32" s="4"/>
      <c r="G32" s="4"/>
      <c r="H32" s="4"/>
      <c r="I32" s="4"/>
      <c r="J32" s="4"/>
      <c r="K32" s="4"/>
      <c r="L32" s="4"/>
      <c r="M32" s="4"/>
      <c r="N32" s="4"/>
    </row>
    <row r="33" spans="2:14" ht="13.5">
      <c r="B33" s="5" t="str">
        <f>'Case Manager'!$K$6</f>
        <v>For the FYE January 31</v>
      </c>
      <c r="F33" s="12" t="str">
        <f>'Consolidated Financial Results'!$F$7</f>
        <v>Actual</v>
      </c>
      <c r="G33" s="13"/>
      <c r="H33" s="53"/>
      <c r="I33" s="12" t="str">
        <f>'Consolidated Financial Results'!$I$7</f>
        <v>Projected</v>
      </c>
      <c r="J33" s="12"/>
      <c r="K33" s="12"/>
      <c r="L33" s="13"/>
      <c r="M33" s="6"/>
      <c r="N33" s="33"/>
    </row>
    <row r="34" spans="2:14" ht="12.75">
      <c r="B34" s="7"/>
      <c r="C34" s="7"/>
      <c r="D34" s="7"/>
      <c r="E34" s="7"/>
      <c r="F34" s="15">
        <f>'Consolidated Financial Results'!$F$8</f>
        <v>2003</v>
      </c>
      <c r="G34" s="15">
        <f>'Consolidated Financial Results'!$G$8</f>
        <v>2004</v>
      </c>
      <c r="H34" s="16">
        <f>'Consolidated Financial Results'!$H$8</f>
        <v>2005</v>
      </c>
      <c r="I34" s="15">
        <f>'Consolidated Financial Results'!$I$8</f>
        <v>2006</v>
      </c>
      <c r="J34" s="15">
        <f>'Consolidated Financial Results'!$J$8</f>
        <v>2007</v>
      </c>
      <c r="K34" s="15">
        <f>'Consolidated Financial Results'!$K$8</f>
        <v>2008</v>
      </c>
      <c r="L34" s="15">
        <f>'Consolidated Financial Results'!$L$8</f>
        <v>2009</v>
      </c>
      <c r="M34" s="32">
        <f>'Consolidated Financial Results'!$M$8</f>
        <v>2010</v>
      </c>
      <c r="N34" s="34"/>
    </row>
    <row r="35" spans="2:13" ht="12.75">
      <c r="B35" s="1" t="str">
        <f>'Case Manager'!$B$59</f>
        <v>Base Case</v>
      </c>
      <c r="F35" s="51"/>
      <c r="G35" s="51"/>
      <c r="H35" s="54"/>
      <c r="I35" s="60">
        <v>0</v>
      </c>
      <c r="J35" s="60">
        <v>0</v>
      </c>
      <c r="K35" s="60">
        <v>0</v>
      </c>
      <c r="L35" s="60">
        <v>0</v>
      </c>
      <c r="M35" s="60">
        <v>0</v>
      </c>
    </row>
    <row r="36" spans="2:13" ht="12.75">
      <c r="B36" s="1" t="str">
        <f>'Case Manager'!$B$60</f>
        <v>Upside Case</v>
      </c>
      <c r="F36" s="51"/>
      <c r="G36" s="51"/>
      <c r="H36" s="54"/>
      <c r="I36" s="60">
        <v>0</v>
      </c>
      <c r="J36" s="60">
        <v>0</v>
      </c>
      <c r="K36" s="60">
        <v>0</v>
      </c>
      <c r="L36" s="60">
        <v>0</v>
      </c>
      <c r="M36" s="60">
        <v>0</v>
      </c>
    </row>
    <row r="37" spans="2:13" ht="12.75">
      <c r="B37" s="1" t="str">
        <f>'Case Manager'!$B$61</f>
        <v>Downside Case</v>
      </c>
      <c r="F37" s="51"/>
      <c r="G37" s="51"/>
      <c r="H37" s="54"/>
      <c r="I37" s="60">
        <v>0</v>
      </c>
      <c r="J37" s="60">
        <v>0</v>
      </c>
      <c r="K37" s="60">
        <v>0</v>
      </c>
      <c r="L37" s="60">
        <v>0</v>
      </c>
      <c r="M37" s="60">
        <v>0</v>
      </c>
    </row>
    <row r="38" spans="2:13" ht="12.75">
      <c r="B38" s="1" t="str">
        <f>'Case Manager'!$B$62</f>
        <v>Open Case #1</v>
      </c>
      <c r="F38" s="51"/>
      <c r="G38" s="51"/>
      <c r="H38" s="54"/>
      <c r="I38" s="60">
        <v>0</v>
      </c>
      <c r="J38" s="60">
        <v>0</v>
      </c>
      <c r="K38" s="60">
        <v>0</v>
      </c>
      <c r="L38" s="60">
        <v>0</v>
      </c>
      <c r="M38" s="60">
        <v>0</v>
      </c>
    </row>
    <row r="39" spans="2:14" ht="12.75">
      <c r="B39" s="10" t="str">
        <f>'Case Manager'!$B$63</f>
        <v>Open Case #2</v>
      </c>
      <c r="C39" s="10"/>
      <c r="D39" s="10"/>
      <c r="E39" s="10"/>
      <c r="F39" s="52"/>
      <c r="G39" s="52"/>
      <c r="H39" s="55"/>
      <c r="I39" s="61">
        <v>0</v>
      </c>
      <c r="J39" s="61">
        <v>0</v>
      </c>
      <c r="K39" s="61">
        <v>0</v>
      </c>
      <c r="L39" s="61">
        <v>0</v>
      </c>
      <c r="M39" s="61">
        <v>0</v>
      </c>
      <c r="N39" s="10"/>
    </row>
    <row r="40" spans="2:13" ht="12.75">
      <c r="B40" s="1" t="str">
        <f>CHOOSE('Case Manager'!$G$65,'Kids R Us'!B35,'Kids R Us'!B36,'Kids R Us'!B37,'Kids R Us'!B38,'Kids R Us'!B39)</f>
        <v>Base Case</v>
      </c>
      <c r="F40" s="9">
        <f>F42/F$16</f>
        <v>0.039647577092511016</v>
      </c>
      <c r="G40" s="9">
        <f>G42/G$16</f>
        <v>0.0963855421686747</v>
      </c>
      <c r="H40" s="27">
        <f>H42/H$16</f>
        <v>0.17857142857142858</v>
      </c>
      <c r="I40" s="9">
        <f>CHOOSE('Case Manager'!$G$65,'Kids R Us'!I35,'Kids R Us'!I36,'Kids R Us'!I37,'Kids R Us'!I38,'Kids R Us'!I39)</f>
        <v>0</v>
      </c>
      <c r="J40" s="9">
        <f>CHOOSE('Case Manager'!$G$65,'Kids R Us'!J35,'Kids R Us'!J36,'Kids R Us'!J37,'Kids R Us'!J38,'Kids R Us'!J39)</f>
        <v>0</v>
      </c>
      <c r="K40" s="9">
        <f>CHOOSE('Case Manager'!$G$65,'Kids R Us'!K35,'Kids R Us'!K36,'Kids R Us'!K37,'Kids R Us'!K38,'Kids R Us'!K39)</f>
        <v>0</v>
      </c>
      <c r="L40" s="9">
        <f>CHOOSE('Case Manager'!$G$65,'Kids R Us'!L35,'Kids R Us'!L36,'Kids R Us'!L37,'Kids R Us'!L38,'Kids R Us'!L39)</f>
        <v>0</v>
      </c>
      <c r="M40" s="9">
        <f>CHOOSE('Case Manager'!$G$65,'Kids R Us'!M35,'Kids R Us'!M36,'Kids R Us'!M37,'Kids R Us'!M38,'Kids R Us'!M39)</f>
        <v>0</v>
      </c>
    </row>
    <row r="41" spans="6:13" ht="12.75">
      <c r="F41" s="9"/>
      <c r="G41" s="9"/>
      <c r="H41" s="27"/>
      <c r="I41" s="9"/>
      <c r="J41" s="9"/>
      <c r="K41" s="9"/>
      <c r="L41" s="9"/>
      <c r="M41" s="9"/>
    </row>
    <row r="42" spans="2:14" ht="13.5" thickBot="1">
      <c r="B42" s="58" t="s">
        <v>35</v>
      </c>
      <c r="C42" s="4"/>
      <c r="D42" s="4"/>
      <c r="E42" s="4"/>
      <c r="F42" s="56">
        <v>18</v>
      </c>
      <c r="G42" s="56">
        <v>40</v>
      </c>
      <c r="H42" s="59">
        <v>5</v>
      </c>
      <c r="I42" s="57">
        <f>I40*I16</f>
        <v>0</v>
      </c>
      <c r="J42" s="57">
        <f>J40*J16</f>
        <v>0</v>
      </c>
      <c r="K42" s="57">
        <f>K40*K16</f>
        <v>0</v>
      </c>
      <c r="L42" s="57">
        <f>L40*L16</f>
        <v>0</v>
      </c>
      <c r="M42" s="57">
        <f>M40*M16</f>
        <v>0</v>
      </c>
      <c r="N42" s="4"/>
    </row>
    <row r="43" ht="12.75">
      <c r="B43" s="5"/>
    </row>
    <row r="44" ht="13.5">
      <c r="B44" s="2" t="str">
        <f>B2</f>
        <v>Kids R Us</v>
      </c>
    </row>
    <row r="45" ht="12.75">
      <c r="B45" s="5"/>
    </row>
    <row r="46" ht="13.5">
      <c r="B46" s="2" t="str">
        <f>'Case Manager'!$D$65</f>
        <v>Base Case</v>
      </c>
    </row>
    <row r="47" spans="2:14" ht="14.25" thickBot="1">
      <c r="B47" s="3"/>
      <c r="C47" s="4"/>
      <c r="D47" s="4"/>
      <c r="E47" s="4"/>
      <c r="F47" s="4"/>
      <c r="G47" s="4"/>
      <c r="H47" s="4"/>
      <c r="I47" s="4"/>
      <c r="J47" s="4"/>
      <c r="K47" s="4"/>
      <c r="L47" s="4"/>
      <c r="M47" s="4"/>
      <c r="N47" s="4"/>
    </row>
    <row r="48" spans="2:14" ht="13.5">
      <c r="B48" s="5" t="str">
        <f>'Case Manager'!$K$6</f>
        <v>For the FYE January 31</v>
      </c>
      <c r="F48" s="12" t="str">
        <f>'Consolidated Financial Results'!F7</f>
        <v>Actual</v>
      </c>
      <c r="G48" s="13"/>
      <c r="H48" s="14"/>
      <c r="I48" s="12" t="str">
        <f>'Consolidated Financial Results'!I7</f>
        <v>Projected</v>
      </c>
      <c r="J48" s="12"/>
      <c r="K48" s="12"/>
      <c r="L48" s="13"/>
      <c r="M48" s="6"/>
      <c r="N48" s="33" t="str">
        <f>'Consolidated Financial Results'!N7</f>
        <v>CAGR</v>
      </c>
    </row>
    <row r="49" spans="2:14" ht="12.75">
      <c r="B49" s="7"/>
      <c r="C49" s="7"/>
      <c r="D49" s="7"/>
      <c r="E49" s="7"/>
      <c r="F49" s="15">
        <f>'Consolidated Financial Results'!F8</f>
        <v>2003</v>
      </c>
      <c r="G49" s="15">
        <f>'Consolidated Financial Results'!G8</f>
        <v>2004</v>
      </c>
      <c r="H49" s="16">
        <f>'Consolidated Financial Results'!H8</f>
        <v>2005</v>
      </c>
      <c r="I49" s="15">
        <f>'Consolidated Financial Results'!I8</f>
        <v>2006</v>
      </c>
      <c r="J49" s="15">
        <f>'Consolidated Financial Results'!J8</f>
        <v>2007</v>
      </c>
      <c r="K49" s="15">
        <f>'Consolidated Financial Results'!K8</f>
        <v>2008</v>
      </c>
      <c r="L49" s="15">
        <f>'Consolidated Financial Results'!L8</f>
        <v>2009</v>
      </c>
      <c r="M49" s="32">
        <f>'Consolidated Financial Results'!M8</f>
        <v>2010</v>
      </c>
      <c r="N49" s="34" t="str">
        <f>'Consolidated Financial Results'!N8</f>
        <v>'05-'10</v>
      </c>
    </row>
    <row r="50" spans="2:14" ht="12.75">
      <c r="B50" s="1" t="str">
        <f>B16</f>
        <v>Net Sales</v>
      </c>
      <c r="F50" s="11">
        <f aca="true" t="shared" si="0" ref="F50:M50">F16</f>
        <v>454</v>
      </c>
      <c r="G50" s="11">
        <f t="shared" si="0"/>
        <v>415</v>
      </c>
      <c r="H50" s="24">
        <f t="shared" si="0"/>
        <v>28</v>
      </c>
      <c r="I50" s="11">
        <f t="shared" si="0"/>
        <v>0</v>
      </c>
      <c r="J50" s="11">
        <f t="shared" si="0"/>
        <v>0</v>
      </c>
      <c r="K50" s="11">
        <f t="shared" si="0"/>
        <v>0</v>
      </c>
      <c r="L50" s="11">
        <f t="shared" si="0"/>
        <v>0</v>
      </c>
      <c r="M50" s="11">
        <f t="shared" si="0"/>
        <v>0</v>
      </c>
      <c r="N50" s="78">
        <f>(M50/H50)^(1/5)-1</f>
        <v>-1</v>
      </c>
    </row>
    <row r="51" spans="2:14" ht="12.75">
      <c r="B51" s="18" t="s">
        <v>5</v>
      </c>
      <c r="G51" s="9">
        <f>G50/F50-1</f>
        <v>-0.08590308370044053</v>
      </c>
      <c r="H51" s="27">
        <f>H50/G50-1</f>
        <v>-0.9325301204819277</v>
      </c>
      <c r="I51" s="75">
        <f>IF(H50=0,"NM",I50/H50-1)</f>
        <v>-1</v>
      </c>
      <c r="J51" s="75" t="str">
        <f>IF(I50=0,"NM",J50/I50-1)</f>
        <v>NM</v>
      </c>
      <c r="K51" s="75" t="str">
        <f>IF(J50=0,"NM",K50/J50-1)</f>
        <v>NM</v>
      </c>
      <c r="L51" s="75" t="str">
        <f>IF(K50=0,"NM",L50/K50-1)</f>
        <v>NM</v>
      </c>
      <c r="M51" s="75" t="str">
        <f>IF(L50=0,"NM",M50/L50-1)</f>
        <v>NM</v>
      </c>
      <c r="N51" s="78"/>
    </row>
    <row r="52" spans="2:14" ht="12.75">
      <c r="B52" s="18"/>
      <c r="G52" s="9"/>
      <c r="H52" s="27"/>
      <c r="I52" s="9"/>
      <c r="J52" s="9"/>
      <c r="K52" s="9"/>
      <c r="L52" s="9"/>
      <c r="M52" s="9"/>
      <c r="N52" s="76"/>
    </row>
    <row r="53" spans="2:14" ht="12.75">
      <c r="B53" s="35" t="s">
        <v>36</v>
      </c>
      <c r="F53" s="11">
        <f aca="true" t="shared" si="1" ref="F53:M53">F50-F57</f>
        <v>464</v>
      </c>
      <c r="G53" s="11">
        <f t="shared" si="1"/>
        <v>442</v>
      </c>
      <c r="H53" s="24">
        <f t="shared" si="1"/>
        <v>48</v>
      </c>
      <c r="I53" s="11">
        <f t="shared" si="1"/>
        <v>0</v>
      </c>
      <c r="J53" s="11">
        <f t="shared" si="1"/>
        <v>0</v>
      </c>
      <c r="K53" s="11">
        <f t="shared" si="1"/>
        <v>0</v>
      </c>
      <c r="L53" s="11">
        <f t="shared" si="1"/>
        <v>0</v>
      </c>
      <c r="M53" s="11">
        <f t="shared" si="1"/>
        <v>0</v>
      </c>
      <c r="N53" s="78">
        <f>(M53/H53)^(1/5)-1</f>
        <v>-1</v>
      </c>
    </row>
    <row r="54" spans="2:14" ht="12.75">
      <c r="B54" s="18" t="s">
        <v>5</v>
      </c>
      <c r="G54" s="9">
        <f>G53/F53-1</f>
        <v>-0.04741379310344829</v>
      </c>
      <c r="H54" s="27">
        <f>H53/G53-1</f>
        <v>-0.8914027149321266</v>
      </c>
      <c r="I54" s="75">
        <f>IF(H53=0,"NM",I53/H53-1)</f>
        <v>-1</v>
      </c>
      <c r="J54" s="75" t="str">
        <f>IF(I53=0,"NM",J53/I53-1)</f>
        <v>NM</v>
      </c>
      <c r="K54" s="75" t="str">
        <f>IF(J53=0,"NM",K53/J53-1)</f>
        <v>NM</v>
      </c>
      <c r="L54" s="75" t="str">
        <f>IF(K53=0,"NM",L53/K53-1)</f>
        <v>NM</v>
      </c>
      <c r="M54" s="75" t="str">
        <f>IF(L53=0,"NM",M53/L53-1)</f>
        <v>NM</v>
      </c>
      <c r="N54" s="76"/>
    </row>
    <row r="55" spans="2:14" ht="12.75">
      <c r="B55" s="18" t="s">
        <v>8</v>
      </c>
      <c r="F55" s="9">
        <f>F53/F$50</f>
        <v>1.0220264317180616</v>
      </c>
      <c r="G55" s="9">
        <f>G53/G$50</f>
        <v>1.0650602409638554</v>
      </c>
      <c r="H55" s="27">
        <f>H53/H$50</f>
        <v>1.7142857142857142</v>
      </c>
      <c r="I55" s="75" t="str">
        <f>IF(I50=0,"NM",I53/I$50)</f>
        <v>NM</v>
      </c>
      <c r="J55" s="75" t="str">
        <f>IF(J50=0,"NM",J53/J$50)</f>
        <v>NM</v>
      </c>
      <c r="K55" s="75" t="str">
        <f>IF(K50=0,"NM",K53/K$50)</f>
        <v>NM</v>
      </c>
      <c r="L55" s="75" t="str">
        <f>IF(L50=0,"NM",L53/L$50)</f>
        <v>NM</v>
      </c>
      <c r="M55" s="75" t="str">
        <f>IF(M50=0,"NM",M53/M$50)</f>
        <v>NM</v>
      </c>
      <c r="N55" s="76"/>
    </row>
    <row r="56" spans="8:14" ht="12.75">
      <c r="H56" s="28"/>
      <c r="N56" s="76"/>
    </row>
    <row r="57" spans="2:14" ht="12.75">
      <c r="B57" s="1" t="str">
        <f>B29</f>
        <v>EBITDA</v>
      </c>
      <c r="F57" s="11">
        <f aca="true" t="shared" si="2" ref="F57:M57">F29</f>
        <v>-10</v>
      </c>
      <c r="G57" s="11">
        <f t="shared" si="2"/>
        <v>-27</v>
      </c>
      <c r="H57" s="24">
        <f t="shared" si="2"/>
        <v>-20</v>
      </c>
      <c r="I57" s="11">
        <f t="shared" si="2"/>
        <v>0</v>
      </c>
      <c r="J57" s="11">
        <f t="shared" si="2"/>
        <v>0</v>
      </c>
      <c r="K57" s="11">
        <f t="shared" si="2"/>
        <v>0</v>
      </c>
      <c r="L57" s="11">
        <f t="shared" si="2"/>
        <v>0</v>
      </c>
      <c r="M57" s="11">
        <f t="shared" si="2"/>
        <v>0</v>
      </c>
      <c r="N57" s="78">
        <f>(M57/H57)^(1/5)-1</f>
        <v>-1</v>
      </c>
    </row>
    <row r="58" spans="2:14" ht="12.75">
      <c r="B58" s="18" t="s">
        <v>5</v>
      </c>
      <c r="G58" s="9">
        <f>G57/F57-1</f>
        <v>1.7000000000000002</v>
      </c>
      <c r="H58" s="27">
        <f>H57/G57-1</f>
        <v>-0.2592592592592593</v>
      </c>
      <c r="I58" s="75">
        <f>IF(H57=0,"NM",I57/H57-1)</f>
        <v>-1</v>
      </c>
      <c r="J58" s="75" t="str">
        <f>IF(I57=0,"NM",J57/I57-1)</f>
        <v>NM</v>
      </c>
      <c r="K58" s="75" t="str">
        <f>IF(J57=0,"NM",K57/J57-1)</f>
        <v>NM</v>
      </c>
      <c r="L58" s="75" t="str">
        <f>IF(K57=0,"NM",L57/K57-1)</f>
        <v>NM</v>
      </c>
      <c r="M58" s="75" t="str">
        <f>IF(L57=0,"NM",M57/L57-1)</f>
        <v>NM</v>
      </c>
      <c r="N58" s="76"/>
    </row>
    <row r="59" spans="2:14" ht="12.75">
      <c r="B59" s="18" t="s">
        <v>8</v>
      </c>
      <c r="F59" s="9">
        <f>F57/F$50</f>
        <v>-0.022026431718061675</v>
      </c>
      <c r="G59" s="9">
        <f>G57/G$50</f>
        <v>-0.06506024096385542</v>
      </c>
      <c r="H59" s="27">
        <f>H57/H$50</f>
        <v>-0.7142857142857143</v>
      </c>
      <c r="I59" s="75" t="str">
        <f>IF(I50=0,"NM",I57/I$50)</f>
        <v>NM</v>
      </c>
      <c r="J59" s="75" t="str">
        <f>IF(J50=0,"NM",J57/J$50)</f>
        <v>NM</v>
      </c>
      <c r="K59" s="75" t="str">
        <f>IF(K50=0,"NM",K57/K$50)</f>
        <v>NM</v>
      </c>
      <c r="L59" s="75" t="str">
        <f>IF(L50=0,"NM",L57/L$50)</f>
        <v>NM</v>
      </c>
      <c r="M59" s="75" t="str">
        <f>IF(M50=0,"NM",M57/M$50)</f>
        <v>NM</v>
      </c>
      <c r="N59" s="76"/>
    </row>
    <row r="60" spans="2:14" ht="12.75">
      <c r="B60" s="18"/>
      <c r="C60" s="8"/>
      <c r="D60" s="8"/>
      <c r="E60" s="8"/>
      <c r="F60" s="31"/>
      <c r="G60" s="31"/>
      <c r="H60" s="27"/>
      <c r="I60" s="31"/>
      <c r="J60" s="31"/>
      <c r="K60" s="31"/>
      <c r="L60" s="31"/>
      <c r="M60" s="31"/>
      <c r="N60" s="76"/>
    </row>
    <row r="61" spans="2:14" ht="12.75">
      <c r="B61" s="10" t="str">
        <f>B42</f>
        <v>D&amp;A</v>
      </c>
      <c r="C61" s="10"/>
      <c r="D61" s="10"/>
      <c r="E61" s="10"/>
      <c r="F61" s="17">
        <f aca="true" t="shared" si="3" ref="F61:M61">F42</f>
        <v>18</v>
      </c>
      <c r="G61" s="17">
        <f t="shared" si="3"/>
        <v>40</v>
      </c>
      <c r="H61" s="26">
        <f t="shared" si="3"/>
        <v>5</v>
      </c>
      <c r="I61" s="17">
        <f t="shared" si="3"/>
        <v>0</v>
      </c>
      <c r="J61" s="17">
        <f t="shared" si="3"/>
        <v>0</v>
      </c>
      <c r="K61" s="17">
        <f t="shared" si="3"/>
        <v>0</v>
      </c>
      <c r="L61" s="17">
        <f t="shared" si="3"/>
        <v>0</v>
      </c>
      <c r="M61" s="17">
        <f t="shared" si="3"/>
        <v>0</v>
      </c>
      <c r="N61" s="79"/>
    </row>
    <row r="62" spans="2:14" ht="12.75">
      <c r="B62" s="35" t="s">
        <v>17</v>
      </c>
      <c r="F62" s="11">
        <f aca="true" t="shared" si="4" ref="F62:M62">F57-F61</f>
        <v>-28</v>
      </c>
      <c r="G62" s="11">
        <f t="shared" si="4"/>
        <v>-67</v>
      </c>
      <c r="H62" s="24">
        <f t="shared" si="4"/>
        <v>-25</v>
      </c>
      <c r="I62" s="11">
        <f t="shared" si="4"/>
        <v>0</v>
      </c>
      <c r="J62" s="11">
        <f t="shared" si="4"/>
        <v>0</v>
      </c>
      <c r="K62" s="11">
        <f t="shared" si="4"/>
        <v>0</v>
      </c>
      <c r="L62" s="11">
        <f t="shared" si="4"/>
        <v>0</v>
      </c>
      <c r="M62" s="11">
        <f t="shared" si="4"/>
        <v>0</v>
      </c>
      <c r="N62" s="78">
        <f>(M62/H62)^(1/5)-1</f>
        <v>-1</v>
      </c>
    </row>
    <row r="63" spans="2:14" ht="12.75">
      <c r="B63" s="18" t="s">
        <v>5</v>
      </c>
      <c r="G63" s="9">
        <f>G62/F62-1</f>
        <v>1.3928571428571428</v>
      </c>
      <c r="H63" s="27">
        <f>H62/G62-1</f>
        <v>-0.6268656716417911</v>
      </c>
      <c r="I63" s="75">
        <f>IF(H62=0,"NM",I62/H62-1)</f>
        <v>-1</v>
      </c>
      <c r="J63" s="75" t="str">
        <f>IF(I62=0,"NM",J62/I62-1)</f>
        <v>NM</v>
      </c>
      <c r="K63" s="75" t="str">
        <f>IF(J62=0,"NM",K62/J62-1)</f>
        <v>NM</v>
      </c>
      <c r="L63" s="75" t="str">
        <f>IF(K62=0,"NM",L62/K62-1)</f>
        <v>NM</v>
      </c>
      <c r="M63" s="75" t="str">
        <f>IF(L62=0,"NM",M62/L62-1)</f>
        <v>NM</v>
      </c>
      <c r="N63" s="76"/>
    </row>
    <row r="64" spans="2:14" ht="13.5" thickBot="1">
      <c r="B64" s="19" t="s">
        <v>8</v>
      </c>
      <c r="C64" s="4"/>
      <c r="D64" s="4"/>
      <c r="E64" s="4"/>
      <c r="F64" s="20">
        <f>F62/F$50</f>
        <v>-0.06167400881057269</v>
      </c>
      <c r="G64" s="20">
        <f>G62/G$50</f>
        <v>-0.1614457831325301</v>
      </c>
      <c r="H64" s="29">
        <f>H62/H$50</f>
        <v>-0.8928571428571429</v>
      </c>
      <c r="I64" s="83" t="str">
        <f>IF(I50=0,"NM",I62/I$50)</f>
        <v>NM</v>
      </c>
      <c r="J64" s="83" t="str">
        <f>IF(J50=0,"NM",J62/J$50)</f>
        <v>NM</v>
      </c>
      <c r="K64" s="83" t="str">
        <f>IF(K50=0,"NM",K62/K$50)</f>
        <v>NM</v>
      </c>
      <c r="L64" s="83" t="str">
        <f>IF(L50=0,"NM",L62/L$50)</f>
        <v>NM</v>
      </c>
      <c r="M64" s="83" t="str">
        <f>IF(M50=0,"NM",M62/M$50)</f>
        <v>NM</v>
      </c>
      <c r="N64" s="4"/>
    </row>
    <row r="65" ht="12.75">
      <c r="B65" s="1" t="s">
        <v>43</v>
      </c>
    </row>
  </sheetData>
  <sheetProtection/>
  <printOptions/>
  <pageMargins left="0.5" right="0.5" top="0.5" bottom="0.5" header="0.5" footer="0.5"/>
  <pageSetup horizontalDpi="600" verticalDpi="600" orientation="landscape" scale="90" r:id="rId1"/>
  <headerFooter alignWithMargins="0">
    <oddFooter>&amp;R&amp;"Times New Roman,Regular"&amp;8Page &amp;P &amp;D / &amp;T</oddFooter>
  </headerFooter>
</worksheet>
</file>

<file path=xl/worksheets/sheet13.xml><?xml version="1.0" encoding="utf-8"?>
<worksheet xmlns="http://schemas.openxmlformats.org/spreadsheetml/2006/main" xmlns:r="http://schemas.openxmlformats.org/officeDocument/2006/relationships">
  <dimension ref="B2:N77"/>
  <sheetViews>
    <sheetView showGridLines="0" zoomScalePageLayoutView="0" workbookViewId="0" topLeftCell="A1">
      <selection activeCell="A1" sqref="A1"/>
    </sheetView>
  </sheetViews>
  <sheetFormatPr defaultColWidth="10.7109375" defaultRowHeight="12.75"/>
  <cols>
    <col min="1" max="16384" width="10.7109375" style="1" customWidth="1"/>
  </cols>
  <sheetData>
    <row r="2" ht="13.5">
      <c r="B2" s="50" t="s">
        <v>47</v>
      </c>
    </row>
    <row r="3" ht="12.75">
      <c r="B3" s="5" t="str">
        <f>'Case Manager'!$K$5</f>
        <v>($ in millions)</v>
      </c>
    </row>
    <row r="4" ht="12.75">
      <c r="B4" s="5"/>
    </row>
    <row r="5" ht="13.5">
      <c r="B5" s="50" t="s">
        <v>44</v>
      </c>
    </row>
    <row r="6" spans="2:14" ht="14.25" thickBot="1">
      <c r="B6" s="3"/>
      <c r="C6" s="4"/>
      <c r="D6" s="4"/>
      <c r="E6" s="4"/>
      <c r="F6" s="4"/>
      <c r="G6" s="4"/>
      <c r="H6" s="4"/>
      <c r="I6" s="4"/>
      <c r="J6" s="4"/>
      <c r="K6" s="4"/>
      <c r="L6" s="4"/>
      <c r="M6" s="4"/>
      <c r="N6" s="4"/>
    </row>
    <row r="7" spans="2:14" ht="13.5">
      <c r="B7" s="5" t="str">
        <f>'Case Manager'!$K$6</f>
        <v>For the FYE January 31</v>
      </c>
      <c r="F7" s="12" t="str">
        <f>'Consolidated Financial Results'!$F$7</f>
        <v>Actual</v>
      </c>
      <c r="G7" s="13"/>
      <c r="H7" s="53"/>
      <c r="I7" s="12" t="str">
        <f>'Consolidated Financial Results'!$I$7</f>
        <v>Projected</v>
      </c>
      <c r="J7" s="12"/>
      <c r="K7" s="12"/>
      <c r="L7" s="13"/>
      <c r="M7" s="6"/>
      <c r="N7" s="33"/>
    </row>
    <row r="8" spans="2:14" ht="12.75">
      <c r="B8" s="7"/>
      <c r="C8" s="7"/>
      <c r="D8" s="7"/>
      <c r="E8" s="7"/>
      <c r="F8" s="15">
        <f>'Consolidated Financial Results'!$F$8</f>
        <v>2003</v>
      </c>
      <c r="G8" s="15">
        <f>'Consolidated Financial Results'!$G$8</f>
        <v>2004</v>
      </c>
      <c r="H8" s="16">
        <f>'Consolidated Financial Results'!$H$8</f>
        <v>2005</v>
      </c>
      <c r="I8" s="15">
        <f>'Consolidated Financial Results'!$I$8</f>
        <v>2006</v>
      </c>
      <c r="J8" s="15">
        <f>'Consolidated Financial Results'!$J$8</f>
        <v>2007</v>
      </c>
      <c r="K8" s="15">
        <f>'Consolidated Financial Results'!$K$8</f>
        <v>2008</v>
      </c>
      <c r="L8" s="15">
        <f>'Consolidated Financial Results'!$L$8</f>
        <v>2009</v>
      </c>
      <c r="M8" s="32">
        <f>'Consolidated Financial Results'!$M$8</f>
        <v>2010</v>
      </c>
      <c r="N8" s="34"/>
    </row>
    <row r="9" spans="2:13" ht="12.75">
      <c r="B9" s="1" t="str">
        <f>'Case Manager'!$B$59</f>
        <v>Base Case</v>
      </c>
      <c r="F9" s="51"/>
      <c r="G9" s="51"/>
      <c r="H9" s="54"/>
      <c r="I9" s="60">
        <v>0.007207207207207207</v>
      </c>
      <c r="J9" s="60">
        <v>0.007207207207207207</v>
      </c>
      <c r="K9" s="60">
        <v>0.007207207207207207</v>
      </c>
      <c r="L9" s="60">
        <v>0.007207207207207207</v>
      </c>
      <c r="M9" s="60">
        <v>0.007207207207207207</v>
      </c>
    </row>
    <row r="10" spans="2:13" ht="12.75">
      <c r="B10" s="1" t="str">
        <f>'Case Manager'!$B$60</f>
        <v>Upside Case</v>
      </c>
      <c r="F10" s="51"/>
      <c r="G10" s="51"/>
      <c r="H10" s="54"/>
      <c r="I10" s="60">
        <v>0.007207207207207207</v>
      </c>
      <c r="J10" s="60">
        <v>0.007207207207207207</v>
      </c>
      <c r="K10" s="60">
        <v>0.007207207207207207</v>
      </c>
      <c r="L10" s="60">
        <v>0.007207207207207207</v>
      </c>
      <c r="M10" s="60">
        <v>0.007207207207207207</v>
      </c>
    </row>
    <row r="11" spans="2:13" ht="12.75">
      <c r="B11" s="1" t="str">
        <f>'Case Manager'!$B$61</f>
        <v>Downside Case</v>
      </c>
      <c r="F11" s="51"/>
      <c r="G11" s="51"/>
      <c r="H11" s="54"/>
      <c r="I11" s="60">
        <v>0.007207207207207207</v>
      </c>
      <c r="J11" s="60">
        <v>0.007207207207207207</v>
      </c>
      <c r="K11" s="60">
        <v>0.007207207207207207</v>
      </c>
      <c r="L11" s="60">
        <v>0.007207207207207207</v>
      </c>
      <c r="M11" s="60">
        <v>0.007207207207207207</v>
      </c>
    </row>
    <row r="12" spans="2:13" ht="12.75">
      <c r="B12" s="1" t="str">
        <f>'Case Manager'!$B$62</f>
        <v>Open Case #1</v>
      </c>
      <c r="F12" s="51"/>
      <c r="G12" s="51"/>
      <c r="H12" s="54"/>
      <c r="I12" s="60">
        <v>0.007207207207207207</v>
      </c>
      <c r="J12" s="60">
        <v>0.007207207207207207</v>
      </c>
      <c r="K12" s="60">
        <v>0.007207207207207207</v>
      </c>
      <c r="L12" s="60">
        <v>0.007207207207207207</v>
      </c>
      <c r="M12" s="60">
        <v>0.007207207207207207</v>
      </c>
    </row>
    <row r="13" spans="2:14" ht="12.75">
      <c r="B13" s="10" t="str">
        <f>'Case Manager'!$B$63</f>
        <v>Open Case #2</v>
      </c>
      <c r="C13" s="10"/>
      <c r="D13" s="10"/>
      <c r="E13" s="10"/>
      <c r="F13" s="52"/>
      <c r="G13" s="52"/>
      <c r="H13" s="55"/>
      <c r="I13" s="61">
        <v>0.007207207207207207</v>
      </c>
      <c r="J13" s="61">
        <v>0.007207207207207207</v>
      </c>
      <c r="K13" s="61">
        <v>0.007207207207207207</v>
      </c>
      <c r="L13" s="61">
        <v>0.007207207207207207</v>
      </c>
      <c r="M13" s="61">
        <v>0.007207207207207207</v>
      </c>
      <c r="N13" s="10"/>
    </row>
    <row r="14" spans="2:13" ht="12.75">
      <c r="B14" s="1" t="str">
        <f>CHOOSE('Case Manager'!$G$65,'Toys Corporate'!B9,'Toys Corporate'!B10,'Toys Corporate'!B11,'Toys Corporate'!B12,'Toys Corporate'!B13)</f>
        <v>Base Case</v>
      </c>
      <c r="D14" s="30" t="s">
        <v>359</v>
      </c>
      <c r="F14" s="9">
        <f>F16/F62</f>
        <v>0.0025652366209641753</v>
      </c>
      <c r="G14" s="9">
        <f>G16/G62</f>
        <v>0.0020318021201413427</v>
      </c>
      <c r="H14" s="27">
        <f>H16/H62</f>
        <v>0.007207207207207207</v>
      </c>
      <c r="I14" s="9">
        <f>CHOOSE('Case Manager'!$G$65,'Toys Corporate'!I9,'Toys Corporate'!I10,'Toys Corporate'!I11,'Toys Corporate'!I12,'Toys Corporate'!I13)</f>
        <v>0.007207207207207207</v>
      </c>
      <c r="J14" s="9">
        <f>CHOOSE('Case Manager'!$G$65,'Toys Corporate'!J9,'Toys Corporate'!J10,'Toys Corporate'!J11,'Toys Corporate'!J12,'Toys Corporate'!J13)</f>
        <v>0.007207207207207207</v>
      </c>
      <c r="K14" s="9">
        <f>CHOOSE('Case Manager'!$G$65,'Toys Corporate'!K9,'Toys Corporate'!K10,'Toys Corporate'!K11,'Toys Corporate'!K12,'Toys Corporate'!K13)</f>
        <v>0.007207207207207207</v>
      </c>
      <c r="L14" s="9">
        <f>CHOOSE('Case Manager'!$G$65,'Toys Corporate'!L9,'Toys Corporate'!L10,'Toys Corporate'!L11,'Toys Corporate'!L12,'Toys Corporate'!L13)</f>
        <v>0.007207207207207207</v>
      </c>
      <c r="M14" s="9">
        <f>CHOOSE('Case Manager'!$G$65,'Toys Corporate'!M9,'Toys Corporate'!M10,'Toys Corporate'!M11,'Toys Corporate'!M12,'Toys Corporate'!M13)</f>
        <v>0.007207207207207207</v>
      </c>
    </row>
    <row r="15" spans="6:13" ht="12.75">
      <c r="F15" s="9"/>
      <c r="G15" s="9"/>
      <c r="H15" s="27"/>
      <c r="I15" s="9"/>
      <c r="J15" s="9"/>
      <c r="K15" s="9"/>
      <c r="L15" s="9"/>
      <c r="M15" s="9"/>
    </row>
    <row r="16" spans="2:14" ht="13.5" thickBot="1">
      <c r="B16" s="58" t="str">
        <f>B5</f>
        <v>Corporate / Other Expenses</v>
      </c>
      <c r="C16" s="4"/>
      <c r="D16" s="4"/>
      <c r="E16" s="4"/>
      <c r="F16" s="56">
        <v>29</v>
      </c>
      <c r="G16" s="56">
        <v>23</v>
      </c>
      <c r="H16" s="59">
        <v>80</v>
      </c>
      <c r="I16" s="57">
        <f>I14*I62</f>
        <v>79.66937596454434</v>
      </c>
      <c r="J16" s="57">
        <f>J14*J62</f>
        <v>79.66937596454434</v>
      </c>
      <c r="K16" s="57">
        <f>K14*K62</f>
        <v>79.66937596454434</v>
      </c>
      <c r="L16" s="57">
        <f>L14*L62</f>
        <v>79.66937596454434</v>
      </c>
      <c r="M16" s="57">
        <f>M14*M62</f>
        <v>79.66937596454434</v>
      </c>
      <c r="N16" s="4"/>
    </row>
    <row r="17" ht="12.75">
      <c r="B17" s="5"/>
    </row>
    <row r="18" spans="2:8" ht="13.5">
      <c r="B18" s="50" t="s">
        <v>34</v>
      </c>
      <c r="F18" s="11"/>
      <c r="G18" s="11"/>
      <c r="H18" s="11"/>
    </row>
    <row r="19" spans="2:14" ht="14.25" thickBot="1">
      <c r="B19" s="3"/>
      <c r="C19" s="4"/>
      <c r="D19" s="4"/>
      <c r="E19" s="4"/>
      <c r="F19" s="4"/>
      <c r="G19" s="4"/>
      <c r="H19" s="4"/>
      <c r="I19" s="4"/>
      <c r="J19" s="4"/>
      <c r="K19" s="4"/>
      <c r="L19" s="4"/>
      <c r="M19" s="4"/>
      <c r="N19" s="4"/>
    </row>
    <row r="20" spans="2:14" ht="13.5">
      <c r="B20" s="5" t="str">
        <f>'Case Manager'!$K$6</f>
        <v>For the FYE January 31</v>
      </c>
      <c r="F20" s="12" t="str">
        <f>'Consolidated Financial Results'!$F$7</f>
        <v>Actual</v>
      </c>
      <c r="G20" s="13"/>
      <c r="H20" s="53"/>
      <c r="I20" s="12" t="str">
        <f>'Consolidated Financial Results'!$I$7</f>
        <v>Projected</v>
      </c>
      <c r="J20" s="12"/>
      <c r="K20" s="12"/>
      <c r="L20" s="13"/>
      <c r="M20" s="6"/>
      <c r="N20" s="33"/>
    </row>
    <row r="21" spans="2:14" ht="12.75">
      <c r="B21" s="7"/>
      <c r="C21" s="7"/>
      <c r="D21" s="7"/>
      <c r="E21" s="7"/>
      <c r="F21" s="15">
        <f>'Consolidated Financial Results'!$F$8</f>
        <v>2003</v>
      </c>
      <c r="G21" s="15">
        <f>'Consolidated Financial Results'!$G$8</f>
        <v>2004</v>
      </c>
      <c r="H21" s="16">
        <f>'Consolidated Financial Results'!$H$8</f>
        <v>2005</v>
      </c>
      <c r="I21" s="15">
        <f>'Consolidated Financial Results'!$I$8</f>
        <v>2006</v>
      </c>
      <c r="J21" s="15">
        <f>'Consolidated Financial Results'!$J$8</f>
        <v>2007</v>
      </c>
      <c r="K21" s="15">
        <f>'Consolidated Financial Results'!$K$8</f>
        <v>2008</v>
      </c>
      <c r="L21" s="15">
        <f>'Consolidated Financial Results'!$L$8</f>
        <v>2009</v>
      </c>
      <c r="M21" s="32">
        <f>'Consolidated Financial Results'!$M$8</f>
        <v>2010</v>
      </c>
      <c r="N21" s="34"/>
    </row>
    <row r="22" spans="2:13" ht="12.75">
      <c r="B22" s="1" t="str">
        <f>'Case Manager'!$B$59</f>
        <v>Base Case</v>
      </c>
      <c r="F22" s="51"/>
      <c r="G22" s="51"/>
      <c r="H22" s="54"/>
      <c r="I22" s="60">
        <v>0.003243243243243243</v>
      </c>
      <c r="J22" s="60">
        <v>0.003243243243243243</v>
      </c>
      <c r="K22" s="60">
        <v>0.003243243243243243</v>
      </c>
      <c r="L22" s="60">
        <v>0.003243243243243243</v>
      </c>
      <c r="M22" s="60">
        <v>0.003243243243243243</v>
      </c>
    </row>
    <row r="23" spans="2:13" ht="12.75">
      <c r="B23" s="1" t="str">
        <f>'Case Manager'!$B$60</f>
        <v>Upside Case</v>
      </c>
      <c r="F23" s="51"/>
      <c r="G23" s="51"/>
      <c r="H23" s="54"/>
      <c r="I23" s="60">
        <v>0.003243243243243243</v>
      </c>
      <c r="J23" s="60">
        <v>0.003243243243243243</v>
      </c>
      <c r="K23" s="60">
        <v>0.003243243243243243</v>
      </c>
      <c r="L23" s="60">
        <v>0.003243243243243243</v>
      </c>
      <c r="M23" s="60">
        <v>0.003243243243243243</v>
      </c>
    </row>
    <row r="24" spans="2:13" ht="12.75">
      <c r="B24" s="1" t="str">
        <f>'Case Manager'!$B$61</f>
        <v>Downside Case</v>
      </c>
      <c r="F24" s="51"/>
      <c r="G24" s="51"/>
      <c r="H24" s="54"/>
      <c r="I24" s="60">
        <v>0.003243243243243243</v>
      </c>
      <c r="J24" s="60">
        <v>0.003243243243243243</v>
      </c>
      <c r="K24" s="60">
        <v>0.003243243243243243</v>
      </c>
      <c r="L24" s="60">
        <v>0.003243243243243243</v>
      </c>
      <c r="M24" s="60">
        <v>0.003243243243243243</v>
      </c>
    </row>
    <row r="25" spans="2:13" ht="12.75">
      <c r="B25" s="1" t="str">
        <f>'Case Manager'!$B$62</f>
        <v>Open Case #1</v>
      </c>
      <c r="F25" s="51"/>
      <c r="G25" s="51"/>
      <c r="H25" s="54"/>
      <c r="I25" s="60">
        <v>0.003243243243243243</v>
      </c>
      <c r="J25" s="60">
        <v>0.003243243243243243</v>
      </c>
      <c r="K25" s="60">
        <v>0.003243243243243243</v>
      </c>
      <c r="L25" s="60">
        <v>0.003243243243243243</v>
      </c>
      <c r="M25" s="60">
        <v>0.003243243243243243</v>
      </c>
    </row>
    <row r="26" spans="2:14" ht="12.75">
      <c r="B26" s="10" t="str">
        <f>'Case Manager'!$B$63</f>
        <v>Open Case #2</v>
      </c>
      <c r="C26" s="10"/>
      <c r="D26" s="10"/>
      <c r="E26" s="10"/>
      <c r="F26" s="52"/>
      <c r="G26" s="52"/>
      <c r="H26" s="55"/>
      <c r="I26" s="61">
        <v>0.003243243243243243</v>
      </c>
      <c r="J26" s="61">
        <v>0.003243243243243243</v>
      </c>
      <c r="K26" s="61">
        <v>0.003243243243243243</v>
      </c>
      <c r="L26" s="61">
        <v>0.003243243243243243</v>
      </c>
      <c r="M26" s="61">
        <v>0.003243243243243243</v>
      </c>
      <c r="N26" s="10"/>
    </row>
    <row r="27" spans="2:13" ht="12.75">
      <c r="B27" s="1" t="str">
        <f>CHOOSE('Case Manager'!$G$65,'Toys Corporate'!B22,'Toys Corporate'!B23,'Toys Corporate'!B24,'Toys Corporate'!B25,'Toys Corporate'!B26)</f>
        <v>Base Case</v>
      </c>
      <c r="F27" s="9">
        <f>F29/F62</f>
        <v>0.004068996019460416</v>
      </c>
      <c r="G27" s="9">
        <f>G29/G62</f>
        <v>0.0035335689045936395</v>
      </c>
      <c r="H27" s="27">
        <f>H29/H62</f>
        <v>0.003243243243243243</v>
      </c>
      <c r="I27" s="9">
        <f>CHOOSE('Case Manager'!$G$65,'Toys Corporate'!I22,'Toys Corporate'!I23,'Toys Corporate'!I24,'Toys Corporate'!I25,'Toys Corporate'!I26)</f>
        <v>0.003243243243243243</v>
      </c>
      <c r="J27" s="9">
        <f>CHOOSE('Case Manager'!$G$65,'Toys Corporate'!J22,'Toys Corporate'!J23,'Toys Corporate'!J24,'Toys Corporate'!J25,'Toys Corporate'!J26)</f>
        <v>0.003243243243243243</v>
      </c>
      <c r="K27" s="9">
        <f>CHOOSE('Case Manager'!$G$65,'Toys Corporate'!K22,'Toys Corporate'!K23,'Toys Corporate'!K24,'Toys Corporate'!K25,'Toys Corporate'!K26)</f>
        <v>0.003243243243243243</v>
      </c>
      <c r="L27" s="9">
        <f>CHOOSE('Case Manager'!$G$65,'Toys Corporate'!L22,'Toys Corporate'!L23,'Toys Corporate'!L24,'Toys Corporate'!L25,'Toys Corporate'!L26)</f>
        <v>0.003243243243243243</v>
      </c>
      <c r="M27" s="9">
        <f>CHOOSE('Case Manager'!$G$65,'Toys Corporate'!M22,'Toys Corporate'!M23,'Toys Corporate'!M24,'Toys Corporate'!M25,'Toys Corporate'!M26)</f>
        <v>0.003243243243243243</v>
      </c>
    </row>
    <row r="28" spans="6:13" ht="12.75">
      <c r="F28" s="9"/>
      <c r="G28" s="9"/>
      <c r="H28" s="27"/>
      <c r="I28" s="9"/>
      <c r="J28" s="9"/>
      <c r="K28" s="9"/>
      <c r="L28" s="9"/>
      <c r="M28" s="9"/>
    </row>
    <row r="29" spans="2:14" ht="13.5" thickBot="1">
      <c r="B29" s="58" t="s">
        <v>48</v>
      </c>
      <c r="C29" s="4"/>
      <c r="D29" s="4"/>
      <c r="E29" s="4"/>
      <c r="F29" s="56">
        <v>46</v>
      </c>
      <c r="G29" s="56">
        <v>40</v>
      </c>
      <c r="H29" s="59">
        <v>36</v>
      </c>
      <c r="I29" s="57">
        <f>I27*I62</f>
        <v>35.85121918404495</v>
      </c>
      <c r="J29" s="57">
        <f>J27*J62</f>
        <v>35.85121918404495</v>
      </c>
      <c r="K29" s="57">
        <f>K27*K62</f>
        <v>35.85121918404495</v>
      </c>
      <c r="L29" s="57">
        <f>L27*L62</f>
        <v>35.85121918404495</v>
      </c>
      <c r="M29" s="57">
        <f>M27*M62</f>
        <v>35.85121918404495</v>
      </c>
      <c r="N29" s="4"/>
    </row>
    <row r="30" ht="12.75">
      <c r="B30" s="5"/>
    </row>
    <row r="31" ht="13.5">
      <c r="B31" s="50" t="s">
        <v>14</v>
      </c>
    </row>
    <row r="32" spans="2:14" ht="14.25" thickBot="1">
      <c r="B32" s="3"/>
      <c r="C32" s="4"/>
      <c r="D32" s="4"/>
      <c r="E32" s="4"/>
      <c r="F32" s="4"/>
      <c r="G32" s="4"/>
      <c r="H32" s="4"/>
      <c r="I32" s="4"/>
      <c r="J32" s="4"/>
      <c r="K32" s="4"/>
      <c r="L32" s="4"/>
      <c r="M32" s="4"/>
      <c r="N32" s="4"/>
    </row>
    <row r="33" spans="2:14" ht="13.5">
      <c r="B33" s="5" t="str">
        <f>'Case Manager'!$K$6</f>
        <v>For the FYE January 31</v>
      </c>
      <c r="F33" s="12" t="str">
        <f>'Consolidated Financial Results'!$F$7</f>
        <v>Actual</v>
      </c>
      <c r="G33" s="13"/>
      <c r="H33" s="53"/>
      <c r="I33" s="12" t="str">
        <f>'Consolidated Financial Results'!$I$7</f>
        <v>Projected</v>
      </c>
      <c r="J33" s="12"/>
      <c r="K33" s="12"/>
      <c r="L33" s="13"/>
      <c r="M33" s="6"/>
      <c r="N33" s="33"/>
    </row>
    <row r="34" spans="2:14" ht="12.75">
      <c r="B34" s="7"/>
      <c r="C34" s="7"/>
      <c r="D34" s="7"/>
      <c r="E34" s="7"/>
      <c r="F34" s="15">
        <f>'Consolidated Financial Results'!$F$8</f>
        <v>2003</v>
      </c>
      <c r="G34" s="15">
        <f>'Consolidated Financial Results'!$G$8</f>
        <v>2004</v>
      </c>
      <c r="H34" s="16">
        <f>'Consolidated Financial Results'!$H$8</f>
        <v>2005</v>
      </c>
      <c r="I34" s="15">
        <f>'Consolidated Financial Results'!$I$8</f>
        <v>2006</v>
      </c>
      <c r="J34" s="15">
        <f>'Consolidated Financial Results'!$J$8</f>
        <v>2007</v>
      </c>
      <c r="K34" s="15">
        <f>'Consolidated Financial Results'!$K$8</f>
        <v>2008</v>
      </c>
      <c r="L34" s="15">
        <f>'Consolidated Financial Results'!$L$8</f>
        <v>2009</v>
      </c>
      <c r="M34" s="32">
        <f>'Consolidated Financial Results'!$M$8</f>
        <v>2010</v>
      </c>
      <c r="N34" s="34"/>
    </row>
    <row r="35" spans="2:14" ht="13.5" thickBot="1">
      <c r="B35" s="67" t="s">
        <v>14</v>
      </c>
      <c r="C35" s="65"/>
      <c r="D35" s="65"/>
      <c r="E35" s="65"/>
      <c r="F35" s="56">
        <v>0</v>
      </c>
      <c r="G35" s="56">
        <v>63</v>
      </c>
      <c r="H35" s="59">
        <v>4</v>
      </c>
      <c r="I35" s="66">
        <v>0</v>
      </c>
      <c r="J35" s="66">
        <v>0</v>
      </c>
      <c r="K35" s="66">
        <v>0</v>
      </c>
      <c r="L35" s="66">
        <v>0</v>
      </c>
      <c r="M35" s="66">
        <v>0</v>
      </c>
      <c r="N35" s="65"/>
    </row>
    <row r="36" spans="2:13" s="69" customFormat="1" ht="12.75">
      <c r="B36" s="68"/>
      <c r="F36" s="70"/>
      <c r="G36" s="70"/>
      <c r="H36" s="70"/>
      <c r="I36" s="70"/>
      <c r="J36" s="70"/>
      <c r="K36" s="70"/>
      <c r="L36" s="70"/>
      <c r="M36" s="70"/>
    </row>
    <row r="37" spans="2:13" s="69" customFormat="1" ht="13.5">
      <c r="B37" s="50" t="s">
        <v>45</v>
      </c>
      <c r="F37" s="70"/>
      <c r="G37" s="70"/>
      <c r="H37" s="70"/>
      <c r="I37" s="70"/>
      <c r="J37" s="70"/>
      <c r="K37" s="70"/>
      <c r="L37" s="70"/>
      <c r="M37" s="70"/>
    </row>
    <row r="38" spans="2:14" ht="14.25" thickBot="1">
      <c r="B38" s="3"/>
      <c r="C38" s="4"/>
      <c r="D38" s="4"/>
      <c r="E38" s="4"/>
      <c r="F38" s="4"/>
      <c r="G38" s="4"/>
      <c r="H38" s="4"/>
      <c r="I38" s="4"/>
      <c r="J38" s="4"/>
      <c r="K38" s="4"/>
      <c r="L38" s="4"/>
      <c r="M38" s="4"/>
      <c r="N38" s="4"/>
    </row>
    <row r="39" spans="2:14" ht="13.5">
      <c r="B39" s="5" t="str">
        <f>'Case Manager'!$K$6</f>
        <v>For the FYE January 31</v>
      </c>
      <c r="F39" s="12" t="str">
        <f>'Consolidated Financial Results'!$F$7</f>
        <v>Actual</v>
      </c>
      <c r="G39" s="13"/>
      <c r="H39" s="53"/>
      <c r="I39" s="12" t="str">
        <f>'Consolidated Financial Results'!$I$7</f>
        <v>Projected</v>
      </c>
      <c r="J39" s="12"/>
      <c r="K39" s="12"/>
      <c r="L39" s="13"/>
      <c r="M39" s="6"/>
      <c r="N39" s="33"/>
    </row>
    <row r="40" spans="2:14" ht="12.75">
      <c r="B40" s="7"/>
      <c r="C40" s="7"/>
      <c r="D40" s="7"/>
      <c r="E40" s="7"/>
      <c r="F40" s="15">
        <f>'Consolidated Financial Results'!$F$8</f>
        <v>2003</v>
      </c>
      <c r="G40" s="15">
        <f>'Consolidated Financial Results'!$G$8</f>
        <v>2004</v>
      </c>
      <c r="H40" s="16">
        <f>'Consolidated Financial Results'!$H$8</f>
        <v>2005</v>
      </c>
      <c r="I40" s="15">
        <f>'Consolidated Financial Results'!$I$8</f>
        <v>2006</v>
      </c>
      <c r="J40" s="15">
        <f>'Consolidated Financial Results'!$J$8</f>
        <v>2007</v>
      </c>
      <c r="K40" s="15">
        <f>'Consolidated Financial Results'!$K$8</f>
        <v>2008</v>
      </c>
      <c r="L40" s="15">
        <f>'Consolidated Financial Results'!$L$8</f>
        <v>2009</v>
      </c>
      <c r="M40" s="32">
        <f>'Consolidated Financial Results'!$M$8</f>
        <v>2010</v>
      </c>
      <c r="N40" s="34"/>
    </row>
    <row r="41" spans="2:13" ht="12.75">
      <c r="B41" s="1" t="str">
        <f>'Case Manager'!$B$59</f>
        <v>Base Case</v>
      </c>
      <c r="F41" s="51"/>
      <c r="G41" s="51"/>
      <c r="H41" s="54"/>
      <c r="I41" s="60">
        <v>0.024234234234234233</v>
      </c>
      <c r="J41" s="60">
        <v>0.024234234234234233</v>
      </c>
      <c r="K41" s="60">
        <v>0.024234234234234233</v>
      </c>
      <c r="L41" s="60">
        <v>0.024234234234234233</v>
      </c>
      <c r="M41" s="60">
        <v>0.024234234234234233</v>
      </c>
    </row>
    <row r="42" spans="2:13" ht="12.75">
      <c r="B42" s="1" t="str">
        <f>'Case Manager'!$B$60</f>
        <v>Upside Case</v>
      </c>
      <c r="F42" s="51"/>
      <c r="G42" s="51"/>
      <c r="H42" s="54"/>
      <c r="I42" s="60">
        <v>0.024234234234234233</v>
      </c>
      <c r="J42" s="60">
        <v>0.024234234234234233</v>
      </c>
      <c r="K42" s="60">
        <v>0.024234234234234233</v>
      </c>
      <c r="L42" s="60">
        <v>0.024234234234234233</v>
      </c>
      <c r="M42" s="60">
        <v>0.024234234234234233</v>
      </c>
    </row>
    <row r="43" spans="2:13" ht="12.75">
      <c r="B43" s="1" t="str">
        <f>'Case Manager'!$B$61</f>
        <v>Downside Case</v>
      </c>
      <c r="F43" s="51"/>
      <c r="G43" s="51"/>
      <c r="H43" s="54"/>
      <c r="I43" s="60">
        <v>0.024234234234234233</v>
      </c>
      <c r="J43" s="60">
        <v>0.024234234234234233</v>
      </c>
      <c r="K43" s="60">
        <v>0.024234234234234233</v>
      </c>
      <c r="L43" s="60">
        <v>0.024234234234234233</v>
      </c>
      <c r="M43" s="60">
        <v>0.024234234234234233</v>
      </c>
    </row>
    <row r="44" spans="2:13" ht="12.75">
      <c r="B44" s="1" t="str">
        <f>'Case Manager'!$B$62</f>
        <v>Open Case #1</v>
      </c>
      <c r="F44" s="51"/>
      <c r="G44" s="51"/>
      <c r="H44" s="54"/>
      <c r="I44" s="60">
        <v>0.024234234234234233</v>
      </c>
      <c r="J44" s="60">
        <v>0.024234234234234233</v>
      </c>
      <c r="K44" s="60">
        <v>0.024234234234234233</v>
      </c>
      <c r="L44" s="60">
        <v>0.024234234234234233</v>
      </c>
      <c r="M44" s="60">
        <v>0.024234234234234233</v>
      </c>
    </row>
    <row r="45" spans="2:14" ht="12.75">
      <c r="B45" s="10" t="str">
        <f>'Case Manager'!$B$63</f>
        <v>Open Case #2</v>
      </c>
      <c r="C45" s="10"/>
      <c r="D45" s="10"/>
      <c r="E45" s="10"/>
      <c r="F45" s="52"/>
      <c r="G45" s="52"/>
      <c r="H45" s="55"/>
      <c r="I45" s="61">
        <v>0.024234234234234233</v>
      </c>
      <c r="J45" s="61">
        <v>0.024234234234234233</v>
      </c>
      <c r="K45" s="61">
        <v>0.024234234234234233</v>
      </c>
      <c r="L45" s="61">
        <v>0.024234234234234233</v>
      </c>
      <c r="M45" s="61">
        <v>0.024234234234234233</v>
      </c>
      <c r="N45" s="10"/>
    </row>
    <row r="46" spans="2:13" ht="12.75">
      <c r="B46" s="1" t="str">
        <f>CHOOSE('Case Manager'!$G$65,'Toys Corporate'!B41,'Toys Corporate'!B42,'Toys Corporate'!B43,'Toys Corporate'!B44,'Toys Corporate'!B45)</f>
        <v>Base Case</v>
      </c>
      <c r="F46" s="9">
        <f>F48/F62</f>
        <v>0.03494029190623618</v>
      </c>
      <c r="G46" s="9">
        <f>G48/G62</f>
        <v>0.02314487632508834</v>
      </c>
      <c r="H46" s="27">
        <f>H48/H62</f>
        <v>0.024234234234234233</v>
      </c>
      <c r="I46" s="9">
        <f>CHOOSE('Case Manager'!$G$65,'Toys Corporate'!I41,'Toys Corporate'!I42,'Toys Corporate'!I43,'Toys Corporate'!I44,'Toys Corporate'!I45)</f>
        <v>0.024234234234234233</v>
      </c>
      <c r="J46" s="9">
        <f>CHOOSE('Case Manager'!$G$65,'Toys Corporate'!J41,'Toys Corporate'!J42,'Toys Corporate'!J43,'Toys Corporate'!J44,'Toys Corporate'!J45)</f>
        <v>0.024234234234234233</v>
      </c>
      <c r="K46" s="9">
        <f>CHOOSE('Case Manager'!$G$65,'Toys Corporate'!K41,'Toys Corporate'!K42,'Toys Corporate'!K43,'Toys Corporate'!K44,'Toys Corporate'!K45)</f>
        <v>0.024234234234234233</v>
      </c>
      <c r="L46" s="9">
        <f>CHOOSE('Case Manager'!$G$65,'Toys Corporate'!L41,'Toys Corporate'!L42,'Toys Corporate'!L43,'Toys Corporate'!L44,'Toys Corporate'!L45)</f>
        <v>0.024234234234234233</v>
      </c>
      <c r="M46" s="9">
        <f>CHOOSE('Case Manager'!$G$65,'Toys Corporate'!M41,'Toys Corporate'!M42,'Toys Corporate'!M43,'Toys Corporate'!M44,'Toys Corporate'!M45)</f>
        <v>0.024234234234234233</v>
      </c>
    </row>
    <row r="47" spans="6:13" ht="12.75">
      <c r="F47" s="9"/>
      <c r="G47" s="9"/>
      <c r="H47" s="27"/>
      <c r="I47" s="9"/>
      <c r="J47" s="9"/>
      <c r="K47" s="9"/>
      <c r="L47" s="9"/>
      <c r="M47" s="9"/>
    </row>
    <row r="48" spans="2:14" ht="13.5" thickBot="1">
      <c r="B48" s="58" t="s">
        <v>46</v>
      </c>
      <c r="C48" s="4"/>
      <c r="D48" s="4"/>
      <c r="E48" s="4"/>
      <c r="F48" s="56">
        <v>395</v>
      </c>
      <c r="G48" s="56">
        <v>262</v>
      </c>
      <c r="H48" s="59">
        <v>269</v>
      </c>
      <c r="I48" s="57">
        <f>I46*I62</f>
        <v>267.88827668078034</v>
      </c>
      <c r="J48" s="57">
        <f>J46*J62</f>
        <v>267.88827668078034</v>
      </c>
      <c r="K48" s="57">
        <f>K46*K62</f>
        <v>267.88827668078034</v>
      </c>
      <c r="L48" s="57">
        <f>L46*L62</f>
        <v>267.88827668078034</v>
      </c>
      <c r="M48" s="57">
        <f>M46*M62</f>
        <v>267.88827668078034</v>
      </c>
      <c r="N48" s="4"/>
    </row>
    <row r="49" ht="12.75">
      <c r="B49" s="5"/>
    </row>
    <row r="50" ht="13.5">
      <c r="B50" s="2" t="str">
        <f>B2</f>
        <v>Toys Corporate / Other</v>
      </c>
    </row>
    <row r="51" ht="12.75">
      <c r="B51" s="5"/>
    </row>
    <row r="52" ht="13.5">
      <c r="B52" s="2" t="str">
        <f>'Case Manager'!$D$65</f>
        <v>Base Case</v>
      </c>
    </row>
    <row r="53" spans="2:14" ht="14.25" thickBot="1">
      <c r="B53" s="3"/>
      <c r="C53" s="4"/>
      <c r="D53" s="4"/>
      <c r="E53" s="4"/>
      <c r="F53" s="4"/>
      <c r="G53" s="4"/>
      <c r="H53" s="4"/>
      <c r="I53" s="4"/>
      <c r="J53" s="4"/>
      <c r="K53" s="4"/>
      <c r="L53" s="4"/>
      <c r="M53" s="4"/>
      <c r="N53" s="4"/>
    </row>
    <row r="54" spans="2:14" ht="13.5">
      <c r="B54" s="5" t="str">
        <f>'Case Manager'!$K$6</f>
        <v>For the FYE January 31</v>
      </c>
      <c r="F54" s="12" t="str">
        <f>'Consolidated Financial Results'!F7</f>
        <v>Actual</v>
      </c>
      <c r="G54" s="13"/>
      <c r="H54" s="14"/>
      <c r="I54" s="12" t="str">
        <f>'Consolidated Financial Results'!I7</f>
        <v>Projected</v>
      </c>
      <c r="J54" s="12"/>
      <c r="K54" s="12"/>
      <c r="L54" s="13"/>
      <c r="M54" s="6"/>
      <c r="N54" s="33" t="str">
        <f>'Consolidated Financial Results'!N7</f>
        <v>CAGR</v>
      </c>
    </row>
    <row r="55" spans="2:14" ht="12.75">
      <c r="B55" s="7"/>
      <c r="C55" s="7"/>
      <c r="D55" s="7"/>
      <c r="E55" s="7"/>
      <c r="F55" s="15">
        <f>'Consolidated Financial Results'!F8</f>
        <v>2003</v>
      </c>
      <c r="G55" s="15">
        <f>'Consolidated Financial Results'!G8</f>
        <v>2004</v>
      </c>
      <c r="H55" s="16">
        <f>'Consolidated Financial Results'!H8</f>
        <v>2005</v>
      </c>
      <c r="I55" s="15">
        <f>'Consolidated Financial Results'!I8</f>
        <v>2006</v>
      </c>
      <c r="J55" s="15">
        <f>'Consolidated Financial Results'!J8</f>
        <v>2007</v>
      </c>
      <c r="K55" s="15">
        <f>'Consolidated Financial Results'!K8</f>
        <v>2008</v>
      </c>
      <c r="L55" s="15">
        <f>'Consolidated Financial Results'!L8</f>
        <v>2009</v>
      </c>
      <c r="M55" s="32">
        <f>'Consolidated Financial Results'!M8</f>
        <v>2010</v>
      </c>
      <c r="N55" s="34" t="str">
        <f>'Consolidated Financial Results'!N8</f>
        <v>'05-'10</v>
      </c>
    </row>
    <row r="56" spans="2:14" ht="13.5">
      <c r="B56" s="2" t="s">
        <v>1</v>
      </c>
      <c r="H56" s="23"/>
      <c r="N56" s="76"/>
    </row>
    <row r="57" spans="2:14" ht="12.75">
      <c r="B57" s="8" t="str">
        <f>'Toys R Us Domestic'!B90</f>
        <v>Toys R Us Domestic</v>
      </c>
      <c r="F57" s="11">
        <f>'Toys R Us Domestic'!F110</f>
        <v>6755</v>
      </c>
      <c r="G57" s="11">
        <f>'Toys R Us Domestic'!G110</f>
        <v>6326</v>
      </c>
      <c r="H57" s="24">
        <f>'Toys R Us Domestic'!H110</f>
        <v>6104</v>
      </c>
      <c r="I57" s="11">
        <f>'Toys R Us Domestic'!I110</f>
        <v>6086.125915080527</v>
      </c>
      <c r="J57" s="11">
        <f>'Toys R Us Domestic'!J110</f>
        <v>6086.125915080527</v>
      </c>
      <c r="K57" s="11">
        <f>'Toys R Us Domestic'!K110</f>
        <v>6086.125915080527</v>
      </c>
      <c r="L57" s="11">
        <f>'Toys R Us Domestic'!L110</f>
        <v>6086.125915080527</v>
      </c>
      <c r="M57" s="11">
        <f>'Toys R Us Domestic'!M110</f>
        <v>6086.125915080527</v>
      </c>
      <c r="N57" s="78">
        <f aca="true" t="shared" si="0" ref="N57:N62">(M57/H57)^(1/5)-1</f>
        <v>-0.0005863387204853021</v>
      </c>
    </row>
    <row r="58" spans="2:14" ht="12.75">
      <c r="B58" s="1" t="str">
        <f>'Toys R Us International'!B44</f>
        <v>Toys R Us International</v>
      </c>
      <c r="F58" s="21">
        <f>'Toys R Us International'!F50</f>
        <v>2161</v>
      </c>
      <c r="G58" s="21">
        <f>'Toys R Us International'!G50</f>
        <v>2470</v>
      </c>
      <c r="H58" s="25">
        <f>'Toys R Us International'!H50</f>
        <v>2739</v>
      </c>
      <c r="I58" s="21">
        <f>'Toys R Us International'!I50</f>
        <v>2739</v>
      </c>
      <c r="J58" s="21">
        <f>'Toys R Us International'!J50</f>
        <v>2739</v>
      </c>
      <c r="K58" s="21">
        <f>'Toys R Us International'!K50</f>
        <v>2739</v>
      </c>
      <c r="L58" s="21">
        <f>'Toys R Us International'!L50</f>
        <v>2739</v>
      </c>
      <c r="M58" s="21">
        <f>'Toys R Us International'!M50</f>
        <v>2739</v>
      </c>
      <c r="N58" s="78">
        <f t="shared" si="0"/>
        <v>0</v>
      </c>
    </row>
    <row r="59" spans="2:14" ht="12.75">
      <c r="B59" s="1" t="str">
        <f>'Babies R Us'!B44</f>
        <v>Babies R Us</v>
      </c>
      <c r="F59" s="21">
        <f>'Babies R Us'!F50</f>
        <v>1595</v>
      </c>
      <c r="G59" s="21">
        <f>'Babies R Us'!G50</f>
        <v>1738</v>
      </c>
      <c r="H59" s="25">
        <f>'Babies R Us'!H50</f>
        <v>1863</v>
      </c>
      <c r="I59" s="21">
        <f>'Babies R Us'!I50</f>
        <v>1863</v>
      </c>
      <c r="J59" s="21">
        <f>'Babies R Us'!J50</f>
        <v>1863</v>
      </c>
      <c r="K59" s="21">
        <f>'Babies R Us'!K50</f>
        <v>1863</v>
      </c>
      <c r="L59" s="21">
        <f>'Babies R Us'!L50</f>
        <v>1863</v>
      </c>
      <c r="M59" s="21">
        <f>'Babies R Us'!M50</f>
        <v>1863</v>
      </c>
      <c r="N59" s="78">
        <f t="shared" si="0"/>
        <v>0</v>
      </c>
    </row>
    <row r="60" spans="2:14" ht="12.75">
      <c r="B60" s="1" t="str">
        <f>'Toys R Us.com'!B44</f>
        <v>Toys R Us.com</v>
      </c>
      <c r="F60" s="21">
        <f>'Toys R Us.com'!F50</f>
        <v>340</v>
      </c>
      <c r="G60" s="21">
        <f>'Toys R Us.com'!G50</f>
        <v>371</v>
      </c>
      <c r="H60" s="25">
        <f>'Toys R Us.com'!H50</f>
        <v>366</v>
      </c>
      <c r="I60" s="21">
        <f>'Toys R Us.com'!I50</f>
        <v>366</v>
      </c>
      <c r="J60" s="21">
        <f>'Toys R Us.com'!J50</f>
        <v>366</v>
      </c>
      <c r="K60" s="21">
        <f>'Toys R Us.com'!K50</f>
        <v>366</v>
      </c>
      <c r="L60" s="21">
        <f>'Toys R Us.com'!L50</f>
        <v>366</v>
      </c>
      <c r="M60" s="21">
        <f>'Toys R Us.com'!M50</f>
        <v>366</v>
      </c>
      <c r="N60" s="78">
        <f t="shared" si="0"/>
        <v>0</v>
      </c>
    </row>
    <row r="61" spans="2:14" ht="12.75">
      <c r="B61" s="10" t="str">
        <f>'Kids R Us'!B44</f>
        <v>Kids R Us</v>
      </c>
      <c r="C61" s="10"/>
      <c r="D61" s="10"/>
      <c r="E61" s="10"/>
      <c r="F61" s="17">
        <f>'Kids R Us'!F50</f>
        <v>454</v>
      </c>
      <c r="G61" s="17">
        <f>'Kids R Us'!G50</f>
        <v>415</v>
      </c>
      <c r="H61" s="26">
        <f>'Kids R Us'!H50</f>
        <v>28</v>
      </c>
      <c r="I61" s="17">
        <f>'Kids R Us'!I50</f>
        <v>0</v>
      </c>
      <c r="J61" s="17">
        <f>'Kids R Us'!J50</f>
        <v>0</v>
      </c>
      <c r="K61" s="17">
        <f>'Kids R Us'!K50</f>
        <v>0</v>
      </c>
      <c r="L61" s="17">
        <f>'Kids R Us'!L50</f>
        <v>0</v>
      </c>
      <c r="M61" s="17">
        <f>'Kids R Us'!M50</f>
        <v>0</v>
      </c>
      <c r="N61" s="79">
        <f t="shared" si="0"/>
        <v>-1</v>
      </c>
    </row>
    <row r="62" spans="2:14" ht="13.5">
      <c r="B62" s="2" t="s">
        <v>2</v>
      </c>
      <c r="F62" s="11">
        <f aca="true" t="shared" si="1" ref="F62:M62">SUM(F57:F61)</f>
        <v>11305</v>
      </c>
      <c r="G62" s="11">
        <f t="shared" si="1"/>
        <v>11320</v>
      </c>
      <c r="H62" s="24">
        <f t="shared" si="1"/>
        <v>11100</v>
      </c>
      <c r="I62" s="11">
        <f t="shared" si="1"/>
        <v>11054.125915080527</v>
      </c>
      <c r="J62" s="11">
        <f t="shared" si="1"/>
        <v>11054.125915080527</v>
      </c>
      <c r="K62" s="11">
        <f t="shared" si="1"/>
        <v>11054.125915080527</v>
      </c>
      <c r="L62" s="11">
        <f t="shared" si="1"/>
        <v>11054.125915080527</v>
      </c>
      <c r="M62" s="11">
        <f t="shared" si="1"/>
        <v>11054.125915080527</v>
      </c>
      <c r="N62" s="78">
        <f t="shared" si="0"/>
        <v>-0.0008279298898753451</v>
      </c>
    </row>
    <row r="63" spans="2:14" ht="12.75">
      <c r="B63" s="18" t="s">
        <v>5</v>
      </c>
      <c r="G63" s="9">
        <f>G62/F62-1</f>
        <v>0.0013268465280849018</v>
      </c>
      <c r="H63" s="27">
        <f aca="true" t="shared" si="2" ref="H63:M63">H62/G62-1</f>
        <v>-0.019434628975265045</v>
      </c>
      <c r="I63" s="9">
        <f t="shared" si="2"/>
        <v>-0.00413280044319575</v>
      </c>
      <c r="J63" s="9">
        <f t="shared" si="2"/>
        <v>0</v>
      </c>
      <c r="K63" s="9">
        <f t="shared" si="2"/>
        <v>0</v>
      </c>
      <c r="L63" s="9">
        <f t="shared" si="2"/>
        <v>0</v>
      </c>
      <c r="M63" s="9">
        <f t="shared" si="2"/>
        <v>0</v>
      </c>
      <c r="N63" s="76"/>
    </row>
    <row r="64" spans="2:14" ht="12.75">
      <c r="B64" s="18"/>
      <c r="G64" s="9"/>
      <c r="H64" s="27"/>
      <c r="I64" s="9"/>
      <c r="J64" s="9"/>
      <c r="K64" s="9"/>
      <c r="L64" s="9"/>
      <c r="M64" s="9"/>
      <c r="N64" s="76"/>
    </row>
    <row r="65" spans="2:14" ht="12.75">
      <c r="B65" s="1" t="str">
        <f>B16</f>
        <v>Corporate / Other Expenses</v>
      </c>
      <c r="F65" s="11">
        <f aca="true" t="shared" si="3" ref="F65:M65">F16</f>
        <v>29</v>
      </c>
      <c r="G65" s="11">
        <f t="shared" si="3"/>
        <v>23</v>
      </c>
      <c r="H65" s="24">
        <f t="shared" si="3"/>
        <v>80</v>
      </c>
      <c r="I65" s="11">
        <f t="shared" si="3"/>
        <v>79.66937596454434</v>
      </c>
      <c r="J65" s="11">
        <f t="shared" si="3"/>
        <v>79.66937596454434</v>
      </c>
      <c r="K65" s="11">
        <f t="shared" si="3"/>
        <v>79.66937596454434</v>
      </c>
      <c r="L65" s="11">
        <f t="shared" si="3"/>
        <v>79.66937596454434</v>
      </c>
      <c r="M65" s="11">
        <f t="shared" si="3"/>
        <v>79.66937596454434</v>
      </c>
      <c r="N65" s="78">
        <f>(M65/H65)^(1/5)-1</f>
        <v>-0.0008279298898753451</v>
      </c>
    </row>
    <row r="66" spans="2:14" ht="12.75">
      <c r="B66" s="18" t="s">
        <v>5</v>
      </c>
      <c r="G66" s="9">
        <f aca="true" t="shared" si="4" ref="G66:M66">G65/F65-1</f>
        <v>-0.2068965517241379</v>
      </c>
      <c r="H66" s="27">
        <f t="shared" si="4"/>
        <v>2.4782608695652173</v>
      </c>
      <c r="I66" s="9">
        <f t="shared" si="4"/>
        <v>-0.00413280044319575</v>
      </c>
      <c r="J66" s="9">
        <f t="shared" si="4"/>
        <v>0</v>
      </c>
      <c r="K66" s="9">
        <f t="shared" si="4"/>
        <v>0</v>
      </c>
      <c r="L66" s="9">
        <f t="shared" si="4"/>
        <v>0</v>
      </c>
      <c r="M66" s="9">
        <f t="shared" si="4"/>
        <v>0</v>
      </c>
      <c r="N66" s="78"/>
    </row>
    <row r="67" spans="2:14" ht="12.75">
      <c r="B67" s="18" t="s">
        <v>8</v>
      </c>
      <c r="F67" s="9">
        <f>F65/F$62</f>
        <v>0.0025652366209641753</v>
      </c>
      <c r="G67" s="9">
        <f aca="true" t="shared" si="5" ref="G67:M67">G65/G$62</f>
        <v>0.0020318021201413427</v>
      </c>
      <c r="H67" s="27">
        <f t="shared" si="5"/>
        <v>0.007207207207207207</v>
      </c>
      <c r="I67" s="9">
        <f t="shared" si="5"/>
        <v>0.007207207207207207</v>
      </c>
      <c r="J67" s="9">
        <f t="shared" si="5"/>
        <v>0.007207207207207207</v>
      </c>
      <c r="K67" s="9">
        <f t="shared" si="5"/>
        <v>0.007207207207207207</v>
      </c>
      <c r="L67" s="9">
        <f t="shared" si="5"/>
        <v>0.007207207207207207</v>
      </c>
      <c r="M67" s="9">
        <f t="shared" si="5"/>
        <v>0.007207207207207207</v>
      </c>
      <c r="N67" s="78"/>
    </row>
    <row r="68" spans="2:14" ht="12.75">
      <c r="B68" s="18"/>
      <c r="G68" s="9"/>
      <c r="H68" s="27"/>
      <c r="I68" s="9"/>
      <c r="J68" s="9"/>
      <c r="K68" s="9"/>
      <c r="L68" s="9"/>
      <c r="M68" s="9"/>
      <c r="N68" s="76"/>
    </row>
    <row r="69" spans="2:14" ht="12.75">
      <c r="B69" s="1" t="str">
        <f>B29</f>
        <v>Other D&amp;A</v>
      </c>
      <c r="F69" s="11">
        <f aca="true" t="shared" si="6" ref="F69:M69">F29</f>
        <v>46</v>
      </c>
      <c r="G69" s="11">
        <f t="shared" si="6"/>
        <v>40</v>
      </c>
      <c r="H69" s="24">
        <f t="shared" si="6"/>
        <v>36</v>
      </c>
      <c r="I69" s="11">
        <f t="shared" si="6"/>
        <v>35.85121918404495</v>
      </c>
      <c r="J69" s="11">
        <f t="shared" si="6"/>
        <v>35.85121918404495</v>
      </c>
      <c r="K69" s="11">
        <f t="shared" si="6"/>
        <v>35.85121918404495</v>
      </c>
      <c r="L69" s="11">
        <f t="shared" si="6"/>
        <v>35.85121918404495</v>
      </c>
      <c r="M69" s="11">
        <f t="shared" si="6"/>
        <v>35.85121918404495</v>
      </c>
      <c r="N69" s="78">
        <f>(M69/H69)^(1/5)-1</f>
        <v>-0.0008279298898753451</v>
      </c>
    </row>
    <row r="70" spans="2:14" ht="12.75">
      <c r="B70" s="18" t="s">
        <v>5</v>
      </c>
      <c r="G70" s="9">
        <f aca="true" t="shared" si="7" ref="G70:M70">G69/F69-1</f>
        <v>-0.13043478260869568</v>
      </c>
      <c r="H70" s="27">
        <f t="shared" si="7"/>
        <v>-0.09999999999999998</v>
      </c>
      <c r="I70" s="9">
        <f t="shared" si="7"/>
        <v>-0.004132800443195861</v>
      </c>
      <c r="J70" s="9">
        <f t="shared" si="7"/>
        <v>0</v>
      </c>
      <c r="K70" s="9">
        <f t="shared" si="7"/>
        <v>0</v>
      </c>
      <c r="L70" s="9">
        <f t="shared" si="7"/>
        <v>0</v>
      </c>
      <c r="M70" s="9">
        <f t="shared" si="7"/>
        <v>0</v>
      </c>
      <c r="N70" s="76"/>
    </row>
    <row r="71" spans="2:14" ht="12.75">
      <c r="B71" s="18" t="s">
        <v>8</v>
      </c>
      <c r="F71" s="9">
        <f>F69/F$62</f>
        <v>0.004068996019460416</v>
      </c>
      <c r="G71" s="9">
        <f aca="true" t="shared" si="8" ref="G71:M71">G69/G$62</f>
        <v>0.0035335689045936395</v>
      </c>
      <c r="H71" s="27">
        <f t="shared" si="8"/>
        <v>0.003243243243243243</v>
      </c>
      <c r="I71" s="9">
        <f t="shared" si="8"/>
        <v>0.003243243243243243</v>
      </c>
      <c r="J71" s="9">
        <f t="shared" si="8"/>
        <v>0.003243243243243243</v>
      </c>
      <c r="K71" s="9">
        <f t="shared" si="8"/>
        <v>0.003243243243243243</v>
      </c>
      <c r="L71" s="9">
        <f t="shared" si="8"/>
        <v>0.003243243243243243</v>
      </c>
      <c r="M71" s="9">
        <f t="shared" si="8"/>
        <v>0.003243243243243243</v>
      </c>
      <c r="N71" s="76"/>
    </row>
    <row r="72" spans="2:14" ht="12.75">
      <c r="B72" s="18"/>
      <c r="F72" s="9"/>
      <c r="G72" s="9"/>
      <c r="H72" s="27"/>
      <c r="I72" s="9"/>
      <c r="J72" s="9"/>
      <c r="K72" s="9"/>
      <c r="L72" s="9"/>
      <c r="M72" s="9"/>
      <c r="N72" s="76"/>
    </row>
    <row r="73" spans="2:14" ht="12.75">
      <c r="B73" s="1" t="str">
        <f>B35</f>
        <v>Restructuring Charges</v>
      </c>
      <c r="F73" s="11">
        <f aca="true" t="shared" si="9" ref="F73:M73">F35</f>
        <v>0</v>
      </c>
      <c r="G73" s="11">
        <f t="shared" si="9"/>
        <v>63</v>
      </c>
      <c r="H73" s="24">
        <f t="shared" si="9"/>
        <v>4</v>
      </c>
      <c r="I73" s="11">
        <f t="shared" si="9"/>
        <v>0</v>
      </c>
      <c r="J73" s="11">
        <f t="shared" si="9"/>
        <v>0</v>
      </c>
      <c r="K73" s="11">
        <f t="shared" si="9"/>
        <v>0</v>
      </c>
      <c r="L73" s="11">
        <f t="shared" si="9"/>
        <v>0</v>
      </c>
      <c r="M73" s="11">
        <f t="shared" si="9"/>
        <v>0</v>
      </c>
      <c r="N73" s="78">
        <f>(M73/H73)^(1/5)-1</f>
        <v>-1</v>
      </c>
    </row>
    <row r="74" spans="8:14" ht="12.75">
      <c r="H74" s="28"/>
      <c r="N74" s="76"/>
    </row>
    <row r="75" spans="2:14" ht="12.75">
      <c r="B75" s="1" t="str">
        <f>B48</f>
        <v>Net Capex</v>
      </c>
      <c r="F75" s="11">
        <f aca="true" t="shared" si="10" ref="F75:M75">F48</f>
        <v>395</v>
      </c>
      <c r="G75" s="11">
        <f t="shared" si="10"/>
        <v>262</v>
      </c>
      <c r="H75" s="24">
        <f t="shared" si="10"/>
        <v>269</v>
      </c>
      <c r="I75" s="11">
        <f t="shared" si="10"/>
        <v>267.88827668078034</v>
      </c>
      <c r="J75" s="11">
        <f t="shared" si="10"/>
        <v>267.88827668078034</v>
      </c>
      <c r="K75" s="11">
        <f t="shared" si="10"/>
        <v>267.88827668078034</v>
      </c>
      <c r="L75" s="11">
        <f t="shared" si="10"/>
        <v>267.88827668078034</v>
      </c>
      <c r="M75" s="11">
        <f t="shared" si="10"/>
        <v>267.88827668078034</v>
      </c>
      <c r="N75" s="78">
        <f>(M75/H75)^(1/5)-1</f>
        <v>-0.0008279298898753451</v>
      </c>
    </row>
    <row r="76" spans="2:13" ht="12.75">
      <c r="B76" s="18" t="s">
        <v>5</v>
      </c>
      <c r="G76" s="9">
        <f aca="true" t="shared" si="11" ref="G76:M76">G75/F75-1</f>
        <v>-0.3367088607594937</v>
      </c>
      <c r="H76" s="27">
        <f t="shared" si="11"/>
        <v>0.026717557251908497</v>
      </c>
      <c r="I76" s="9">
        <f t="shared" si="11"/>
        <v>-0.00413280044319575</v>
      </c>
      <c r="J76" s="9">
        <f t="shared" si="11"/>
        <v>0</v>
      </c>
      <c r="K76" s="9">
        <f t="shared" si="11"/>
        <v>0</v>
      </c>
      <c r="L76" s="9">
        <f t="shared" si="11"/>
        <v>0</v>
      </c>
      <c r="M76" s="9">
        <f t="shared" si="11"/>
        <v>0</v>
      </c>
    </row>
    <row r="77" spans="2:14" ht="13.5" thickBot="1">
      <c r="B77" s="19" t="s">
        <v>8</v>
      </c>
      <c r="C77" s="4"/>
      <c r="D77" s="4"/>
      <c r="E77" s="4"/>
      <c r="F77" s="20">
        <f>F75/F$62</f>
        <v>0.03494029190623618</v>
      </c>
      <c r="G77" s="20">
        <f aca="true" t="shared" si="12" ref="G77:M77">G75/G$62</f>
        <v>0.02314487632508834</v>
      </c>
      <c r="H77" s="29">
        <f t="shared" si="12"/>
        <v>0.024234234234234233</v>
      </c>
      <c r="I77" s="20">
        <f t="shared" si="12"/>
        <v>0.024234234234234233</v>
      </c>
      <c r="J77" s="20">
        <f t="shared" si="12"/>
        <v>0.024234234234234233</v>
      </c>
      <c r="K77" s="20">
        <f t="shared" si="12"/>
        <v>0.024234234234234233</v>
      </c>
      <c r="L77" s="20">
        <f t="shared" si="12"/>
        <v>0.024234234234234233</v>
      </c>
      <c r="M77" s="20">
        <f t="shared" si="12"/>
        <v>0.024234234234234233</v>
      </c>
      <c r="N77" s="4"/>
    </row>
  </sheetData>
  <sheetProtection/>
  <printOptions/>
  <pageMargins left="0.5" right="0.5" top="0.5" bottom="0.5" header="0.5" footer="0.5"/>
  <pageSetup horizontalDpi="600" verticalDpi="600" orientation="landscape" scale="90" r:id="rId1"/>
  <headerFooter alignWithMargins="0">
    <oddFooter>&amp;R&amp;"Times New Roman,Regular"&amp;8Page &amp;P &amp;D / &amp;T</oddFooter>
  </headerFooter>
</worksheet>
</file>

<file path=xl/worksheets/sheet14.xml><?xml version="1.0" encoding="utf-8"?>
<worksheet xmlns="http://schemas.openxmlformats.org/spreadsheetml/2006/main" xmlns:r="http://schemas.openxmlformats.org/officeDocument/2006/relationships">
  <sheetPr>
    <tabColor indexed="18"/>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B2:N70"/>
  <sheetViews>
    <sheetView showGridLines="0" zoomScalePageLayoutView="0" workbookViewId="0" topLeftCell="A1">
      <selection activeCell="A1" sqref="A1"/>
    </sheetView>
  </sheetViews>
  <sheetFormatPr defaultColWidth="10.7109375" defaultRowHeight="12.75"/>
  <cols>
    <col min="1" max="13" width="10.7109375" style="1" customWidth="1"/>
    <col min="14" max="14" width="10.7109375" style="76" customWidth="1"/>
    <col min="15" max="16384" width="10.7109375" style="1" customWidth="1"/>
  </cols>
  <sheetData>
    <row r="2" ht="13.5">
      <c r="B2" s="2" t="s">
        <v>15</v>
      </c>
    </row>
    <row r="3" ht="12.75">
      <c r="B3" s="5" t="str">
        <f>'Case Manager'!$K$5</f>
        <v>($ in millions)</v>
      </c>
    </row>
    <row r="4" ht="12.75">
      <c r="B4" s="22"/>
    </row>
    <row r="5" ht="13.5">
      <c r="B5" s="2" t="str">
        <f>'Case Manager'!$D$65</f>
        <v>Base Case</v>
      </c>
    </row>
    <row r="6" spans="2:14" ht="14.25" thickBot="1">
      <c r="B6" s="3"/>
      <c r="C6" s="4"/>
      <c r="D6" s="4"/>
      <c r="E6" s="4"/>
      <c r="F6" s="4"/>
      <c r="G6" s="4"/>
      <c r="H6" s="4"/>
      <c r="I6" s="4"/>
      <c r="J6" s="4"/>
      <c r="K6" s="4"/>
      <c r="L6" s="4"/>
      <c r="M6" s="4"/>
      <c r="N6" s="77"/>
    </row>
    <row r="7" spans="2:14" ht="13.5">
      <c r="B7" s="5" t="str">
        <f>'Case Manager'!$K$6</f>
        <v>For the FYE January 31</v>
      </c>
      <c r="F7" s="12" t="s">
        <v>4</v>
      </c>
      <c r="G7" s="13"/>
      <c r="H7" s="14"/>
      <c r="I7" s="12" t="s">
        <v>3</v>
      </c>
      <c r="J7" s="12"/>
      <c r="K7" s="12"/>
      <c r="L7" s="13"/>
      <c r="M7" s="6"/>
      <c r="N7" s="33" t="s">
        <v>19</v>
      </c>
    </row>
    <row r="8" spans="2:14" ht="12.75">
      <c r="B8" s="7"/>
      <c r="C8" s="7"/>
      <c r="D8" s="7"/>
      <c r="E8" s="7"/>
      <c r="F8" s="15">
        <f>'Case Manager'!K7</f>
        <v>2003</v>
      </c>
      <c r="G8" s="15">
        <f aca="true" t="shared" si="0" ref="G8:M8">F8+1</f>
        <v>2004</v>
      </c>
      <c r="H8" s="16">
        <f t="shared" si="0"/>
        <v>2005</v>
      </c>
      <c r="I8" s="15">
        <f t="shared" si="0"/>
        <v>2006</v>
      </c>
      <c r="J8" s="15">
        <f t="shared" si="0"/>
        <v>2007</v>
      </c>
      <c r="K8" s="15">
        <f t="shared" si="0"/>
        <v>2008</v>
      </c>
      <c r="L8" s="15">
        <f t="shared" si="0"/>
        <v>2009</v>
      </c>
      <c r="M8" s="32">
        <f t="shared" si="0"/>
        <v>2010</v>
      </c>
      <c r="N8" s="34" t="s">
        <v>20</v>
      </c>
    </row>
    <row r="9" spans="2:8" ht="13.5">
      <c r="B9" s="2" t="s">
        <v>1</v>
      </c>
      <c r="H9" s="23"/>
    </row>
    <row r="10" spans="2:14" ht="12.75">
      <c r="B10" s="8" t="str">
        <f>'Toys R Us Domestic'!B90</f>
        <v>Toys R Us Domestic</v>
      </c>
      <c r="F10" s="11">
        <f>'Toys R Us Domestic'!F110</f>
        <v>6755</v>
      </c>
      <c r="G10" s="11">
        <f>'Toys R Us Domestic'!G110</f>
        <v>6326</v>
      </c>
      <c r="H10" s="24">
        <f>'Toys R Us Domestic'!H110</f>
        <v>6104</v>
      </c>
      <c r="I10" s="11">
        <f>'Toys R Us Domestic'!I110</f>
        <v>6086.125915080527</v>
      </c>
      <c r="J10" s="11">
        <f>'Toys R Us Domestic'!J110</f>
        <v>6086.125915080527</v>
      </c>
      <c r="K10" s="11">
        <f>'Toys R Us Domestic'!K110</f>
        <v>6086.125915080527</v>
      </c>
      <c r="L10" s="11">
        <f>'Toys R Us Domestic'!L110</f>
        <v>6086.125915080527</v>
      </c>
      <c r="M10" s="11">
        <f>'Toys R Us Domestic'!M110</f>
        <v>6086.125915080527</v>
      </c>
      <c r="N10" s="78">
        <f aca="true" t="shared" si="1" ref="N10:N15">(M10/H10)^(1/5)-1</f>
        <v>-0.0005863387204853021</v>
      </c>
    </row>
    <row r="11" spans="2:14" ht="12.75">
      <c r="B11" s="1" t="str">
        <f>'Toys R Us International'!B44</f>
        <v>Toys R Us International</v>
      </c>
      <c r="F11" s="21">
        <f>'Toys R Us International'!F50</f>
        <v>2161</v>
      </c>
      <c r="G11" s="21">
        <f>'Toys R Us International'!G50</f>
        <v>2470</v>
      </c>
      <c r="H11" s="25">
        <f>'Toys R Us International'!H50</f>
        <v>2739</v>
      </c>
      <c r="I11" s="21">
        <f>'Toys R Us International'!I50</f>
        <v>2739</v>
      </c>
      <c r="J11" s="21">
        <f>'Toys R Us International'!J50</f>
        <v>2739</v>
      </c>
      <c r="K11" s="21">
        <f>'Toys R Us International'!K50</f>
        <v>2739</v>
      </c>
      <c r="L11" s="21">
        <f>'Toys R Us International'!L50</f>
        <v>2739</v>
      </c>
      <c r="M11" s="21">
        <f>'Toys R Us International'!M50</f>
        <v>2739</v>
      </c>
      <c r="N11" s="78">
        <f t="shared" si="1"/>
        <v>0</v>
      </c>
    </row>
    <row r="12" spans="2:14" ht="12.75">
      <c r="B12" s="1" t="str">
        <f>'Babies R Us'!B44</f>
        <v>Babies R Us</v>
      </c>
      <c r="F12" s="21">
        <f>'Babies R Us'!F50</f>
        <v>1595</v>
      </c>
      <c r="G12" s="21">
        <f>'Babies R Us'!G50</f>
        <v>1738</v>
      </c>
      <c r="H12" s="25">
        <f>'Babies R Us'!H50</f>
        <v>1863</v>
      </c>
      <c r="I12" s="21">
        <f>'Babies R Us'!I50</f>
        <v>1863</v>
      </c>
      <c r="J12" s="21">
        <f>'Babies R Us'!J50</f>
        <v>1863</v>
      </c>
      <c r="K12" s="21">
        <f>'Babies R Us'!K50</f>
        <v>1863</v>
      </c>
      <c r="L12" s="21">
        <f>'Babies R Us'!L50</f>
        <v>1863</v>
      </c>
      <c r="M12" s="21">
        <f>'Babies R Us'!M50</f>
        <v>1863</v>
      </c>
      <c r="N12" s="78">
        <f t="shared" si="1"/>
        <v>0</v>
      </c>
    </row>
    <row r="13" spans="2:14" ht="12.75">
      <c r="B13" s="1" t="str">
        <f>'Toys R Us.com'!B44</f>
        <v>Toys R Us.com</v>
      </c>
      <c r="F13" s="21">
        <f>'Toys R Us.com'!F50</f>
        <v>340</v>
      </c>
      <c r="G13" s="21">
        <f>'Toys R Us.com'!G50</f>
        <v>371</v>
      </c>
      <c r="H13" s="25">
        <f>'Toys R Us.com'!H50</f>
        <v>366</v>
      </c>
      <c r="I13" s="21">
        <f>'Toys R Us.com'!I50</f>
        <v>366</v>
      </c>
      <c r="J13" s="21">
        <f>'Toys R Us.com'!J50</f>
        <v>366</v>
      </c>
      <c r="K13" s="21">
        <f>'Toys R Us.com'!K50</f>
        <v>366</v>
      </c>
      <c r="L13" s="21">
        <f>'Toys R Us.com'!L50</f>
        <v>366</v>
      </c>
      <c r="M13" s="21">
        <f>'Toys R Us.com'!M50</f>
        <v>366</v>
      </c>
      <c r="N13" s="78">
        <f t="shared" si="1"/>
        <v>0</v>
      </c>
    </row>
    <row r="14" spans="2:14" ht="12.75">
      <c r="B14" s="10" t="str">
        <f>'Kids R Us'!B44</f>
        <v>Kids R Us</v>
      </c>
      <c r="C14" s="10"/>
      <c r="D14" s="10"/>
      <c r="E14" s="10"/>
      <c r="F14" s="17">
        <f>'Kids R Us'!F50</f>
        <v>454</v>
      </c>
      <c r="G14" s="17">
        <f>'Kids R Us'!G50</f>
        <v>415</v>
      </c>
      <c r="H14" s="26">
        <f>'Kids R Us'!H50</f>
        <v>28</v>
      </c>
      <c r="I14" s="17">
        <f>'Kids R Us'!I50</f>
        <v>0</v>
      </c>
      <c r="J14" s="17">
        <f>'Kids R Us'!J50</f>
        <v>0</v>
      </c>
      <c r="K14" s="17">
        <f>'Kids R Us'!K50</f>
        <v>0</v>
      </c>
      <c r="L14" s="17">
        <f>'Kids R Us'!L50</f>
        <v>0</v>
      </c>
      <c r="M14" s="17">
        <f>'Kids R Us'!M50</f>
        <v>0</v>
      </c>
      <c r="N14" s="79">
        <f t="shared" si="1"/>
        <v>-1</v>
      </c>
    </row>
    <row r="15" spans="2:14" ht="13.5">
      <c r="B15" s="2" t="s">
        <v>2</v>
      </c>
      <c r="F15" s="11">
        <f aca="true" t="shared" si="2" ref="F15:M15">SUM(F10:F14)</f>
        <v>11305</v>
      </c>
      <c r="G15" s="11">
        <f t="shared" si="2"/>
        <v>11320</v>
      </c>
      <c r="H15" s="24">
        <f t="shared" si="2"/>
        <v>11100</v>
      </c>
      <c r="I15" s="11">
        <f t="shared" si="2"/>
        <v>11054.125915080527</v>
      </c>
      <c r="J15" s="11">
        <f t="shared" si="2"/>
        <v>11054.125915080527</v>
      </c>
      <c r="K15" s="11">
        <f t="shared" si="2"/>
        <v>11054.125915080527</v>
      </c>
      <c r="L15" s="11">
        <f t="shared" si="2"/>
        <v>11054.125915080527</v>
      </c>
      <c r="M15" s="11">
        <f t="shared" si="2"/>
        <v>11054.125915080527</v>
      </c>
      <c r="N15" s="78">
        <f t="shared" si="1"/>
        <v>-0.0008279298898753451</v>
      </c>
    </row>
    <row r="16" spans="2:13" ht="12.75">
      <c r="B16" s="18" t="s">
        <v>5</v>
      </c>
      <c r="G16" s="9">
        <f aca="true" t="shared" si="3" ref="G16:M16">G15/F15-1</f>
        <v>0.0013268465280849018</v>
      </c>
      <c r="H16" s="27">
        <f t="shared" si="3"/>
        <v>-0.019434628975265045</v>
      </c>
      <c r="I16" s="9">
        <f t="shared" si="3"/>
        <v>-0.00413280044319575</v>
      </c>
      <c r="J16" s="9">
        <f t="shared" si="3"/>
        <v>0</v>
      </c>
      <c r="K16" s="9">
        <f t="shared" si="3"/>
        <v>0</v>
      </c>
      <c r="L16" s="9">
        <f t="shared" si="3"/>
        <v>0</v>
      </c>
      <c r="M16" s="9">
        <f t="shared" si="3"/>
        <v>0</v>
      </c>
    </row>
    <row r="17" ht="12.75">
      <c r="H17" s="28"/>
    </row>
    <row r="18" spans="2:8" ht="13.5">
      <c r="B18" s="2" t="s">
        <v>10</v>
      </c>
      <c r="H18" s="28"/>
    </row>
    <row r="19" spans="2:14" ht="12.75">
      <c r="B19" s="8" t="str">
        <f>'Toys R Us Domestic'!B90</f>
        <v>Toys R Us Domestic</v>
      </c>
      <c r="F19" s="11">
        <f>'Toys R Us Domestic'!F113</f>
        <v>6308</v>
      </c>
      <c r="G19" s="11">
        <f>'Toys R Us Domestic'!G113</f>
        <v>6062</v>
      </c>
      <c r="H19" s="24">
        <f>'Toys R Us Domestic'!H113</f>
        <v>5782</v>
      </c>
      <c r="I19" s="11">
        <f>'Toys R Us Domestic'!I113</f>
        <v>5765.068814055637</v>
      </c>
      <c r="J19" s="11">
        <f>'Toys R Us Domestic'!J113</f>
        <v>5765.068814055637</v>
      </c>
      <c r="K19" s="11">
        <f>'Toys R Us Domestic'!K113</f>
        <v>5765.068814055637</v>
      </c>
      <c r="L19" s="11">
        <f>'Toys R Us Domestic'!L113</f>
        <v>5765.068814055637</v>
      </c>
      <c r="M19" s="11">
        <f>'Toys R Us Domestic'!M113</f>
        <v>5765.068814055637</v>
      </c>
      <c r="N19" s="78">
        <f aca="true" t="shared" si="4" ref="N19:N24">(M19/H19)^(1/5)-1</f>
        <v>-0.0005863387204853021</v>
      </c>
    </row>
    <row r="20" spans="2:14" ht="12.75">
      <c r="B20" s="1" t="str">
        <f>'Toys R Us International'!B44</f>
        <v>Toys R Us International</v>
      </c>
      <c r="F20" s="21">
        <f>'Toys R Us International'!F53</f>
        <v>1951</v>
      </c>
      <c r="G20" s="21">
        <f>'Toys R Us International'!G53</f>
        <v>2243</v>
      </c>
      <c r="H20" s="25">
        <f>'Toys R Us International'!H53</f>
        <v>2444</v>
      </c>
      <c r="I20" s="21">
        <f>'Toys R Us International'!I53</f>
        <v>2444</v>
      </c>
      <c r="J20" s="21">
        <f>'Toys R Us International'!J53</f>
        <v>2444</v>
      </c>
      <c r="K20" s="21">
        <f>'Toys R Us International'!K53</f>
        <v>2444</v>
      </c>
      <c r="L20" s="21">
        <f>'Toys R Us International'!L53</f>
        <v>2444</v>
      </c>
      <c r="M20" s="21">
        <f>'Toys R Us International'!M53</f>
        <v>2444</v>
      </c>
      <c r="N20" s="78">
        <f t="shared" si="4"/>
        <v>0</v>
      </c>
    </row>
    <row r="21" spans="2:14" ht="12.75">
      <c r="B21" s="1" t="str">
        <f>'Babies R Us'!B44</f>
        <v>Babies R Us</v>
      </c>
      <c r="F21" s="21">
        <f>'Babies R Us'!F53</f>
        <v>1398</v>
      </c>
      <c r="G21" s="21">
        <f>'Babies R Us'!G53</f>
        <v>1515</v>
      </c>
      <c r="H21" s="25">
        <f>'Babies R Us'!H53</f>
        <v>1601</v>
      </c>
      <c r="I21" s="21">
        <f>'Babies R Us'!I53</f>
        <v>1601</v>
      </c>
      <c r="J21" s="21">
        <f>'Babies R Us'!J53</f>
        <v>1601</v>
      </c>
      <c r="K21" s="21">
        <f>'Babies R Us'!K53</f>
        <v>1601</v>
      </c>
      <c r="L21" s="21">
        <f>'Babies R Us'!L53</f>
        <v>1601</v>
      </c>
      <c r="M21" s="21">
        <f>'Babies R Us'!M53</f>
        <v>1601</v>
      </c>
      <c r="N21" s="78">
        <f t="shared" si="4"/>
        <v>0</v>
      </c>
    </row>
    <row r="22" spans="2:14" ht="12.75">
      <c r="B22" s="1" t="str">
        <f>'Toys R Us.com'!B44</f>
        <v>Toys R Us.com</v>
      </c>
      <c r="F22" s="21">
        <f>'Toys R Us.com'!F53</f>
        <v>373</v>
      </c>
      <c r="G22" s="21">
        <f>'Toys R Us.com'!G53</f>
        <v>387</v>
      </c>
      <c r="H22" s="25">
        <f>'Toys R Us.com'!H53</f>
        <v>365</v>
      </c>
      <c r="I22" s="21">
        <f>'Toys R Us.com'!I53</f>
        <v>365</v>
      </c>
      <c r="J22" s="21">
        <f>'Toys R Us.com'!J53</f>
        <v>365</v>
      </c>
      <c r="K22" s="21">
        <f>'Toys R Us.com'!K53</f>
        <v>365</v>
      </c>
      <c r="L22" s="21">
        <f>'Toys R Us.com'!L53</f>
        <v>365</v>
      </c>
      <c r="M22" s="21">
        <f>'Toys R Us.com'!M53</f>
        <v>365</v>
      </c>
      <c r="N22" s="78">
        <f t="shared" si="4"/>
        <v>0</v>
      </c>
    </row>
    <row r="23" spans="2:14" ht="12.75">
      <c r="B23" s="10" t="str">
        <f>'Kids R Us'!B44</f>
        <v>Kids R Us</v>
      </c>
      <c r="C23" s="10"/>
      <c r="D23" s="10"/>
      <c r="E23" s="10"/>
      <c r="F23" s="17">
        <f>'Kids R Us'!F53</f>
        <v>464</v>
      </c>
      <c r="G23" s="17">
        <f>'Kids R Us'!G53</f>
        <v>442</v>
      </c>
      <c r="H23" s="26">
        <f>'Kids R Us'!H53</f>
        <v>48</v>
      </c>
      <c r="I23" s="17">
        <f>'Kids R Us'!I53</f>
        <v>0</v>
      </c>
      <c r="J23" s="17">
        <f>'Kids R Us'!J53</f>
        <v>0</v>
      </c>
      <c r="K23" s="17">
        <f>'Kids R Us'!K53</f>
        <v>0</v>
      </c>
      <c r="L23" s="17">
        <f>'Kids R Us'!L53</f>
        <v>0</v>
      </c>
      <c r="M23" s="17">
        <f>'Kids R Us'!M53</f>
        <v>0</v>
      </c>
      <c r="N23" s="79">
        <f t="shared" si="4"/>
        <v>-1</v>
      </c>
    </row>
    <row r="24" spans="2:14" ht="13.5">
      <c r="B24" s="2" t="s">
        <v>10</v>
      </c>
      <c r="F24" s="11">
        <f aca="true" t="shared" si="5" ref="F24:M24">SUM(F19:F23)</f>
        <v>10494</v>
      </c>
      <c r="G24" s="11">
        <f t="shared" si="5"/>
        <v>10649</v>
      </c>
      <c r="H24" s="24">
        <f t="shared" si="5"/>
        <v>10240</v>
      </c>
      <c r="I24" s="11">
        <f t="shared" si="5"/>
        <v>10175.068814055638</v>
      </c>
      <c r="J24" s="11">
        <f t="shared" si="5"/>
        <v>10175.068814055638</v>
      </c>
      <c r="K24" s="11">
        <f t="shared" si="5"/>
        <v>10175.068814055638</v>
      </c>
      <c r="L24" s="11">
        <f t="shared" si="5"/>
        <v>10175.068814055638</v>
      </c>
      <c r="M24" s="11">
        <f t="shared" si="5"/>
        <v>10175.068814055638</v>
      </c>
      <c r="N24" s="78">
        <f t="shared" si="4"/>
        <v>-0.0012714161154800951</v>
      </c>
    </row>
    <row r="25" spans="2:13" ht="12.75">
      <c r="B25" s="18" t="s">
        <v>5</v>
      </c>
      <c r="G25" s="9">
        <f aca="true" t="shared" si="6" ref="G25:M25">G24/F24-1</f>
        <v>0.014770344959024184</v>
      </c>
      <c r="H25" s="27">
        <f t="shared" si="6"/>
        <v>-0.038407362193633166</v>
      </c>
      <c r="I25" s="9">
        <f t="shared" si="6"/>
        <v>-0.006340936127379182</v>
      </c>
      <c r="J25" s="9">
        <f t="shared" si="6"/>
        <v>0</v>
      </c>
      <c r="K25" s="9">
        <f t="shared" si="6"/>
        <v>0</v>
      </c>
      <c r="L25" s="9">
        <f t="shared" si="6"/>
        <v>0</v>
      </c>
      <c r="M25" s="9">
        <f t="shared" si="6"/>
        <v>0</v>
      </c>
    </row>
    <row r="26" spans="2:13" ht="12.75">
      <c r="B26" s="18" t="s">
        <v>8</v>
      </c>
      <c r="F26" s="9">
        <f>F24/F$15</f>
        <v>0.9282618310482088</v>
      </c>
      <c r="G26" s="9">
        <f aca="true" t="shared" si="7" ref="G26:M26">G24/G$15</f>
        <v>0.9407243816254417</v>
      </c>
      <c r="H26" s="27">
        <f t="shared" si="7"/>
        <v>0.9225225225225225</v>
      </c>
      <c r="I26" s="9">
        <f t="shared" si="7"/>
        <v>0.9204770139423109</v>
      </c>
      <c r="J26" s="9">
        <f t="shared" si="7"/>
        <v>0.9204770139423109</v>
      </c>
      <c r="K26" s="9">
        <f t="shared" si="7"/>
        <v>0.9204770139423109</v>
      </c>
      <c r="L26" s="9">
        <f t="shared" si="7"/>
        <v>0.9204770139423109</v>
      </c>
      <c r="M26" s="9">
        <f t="shared" si="7"/>
        <v>0.9204770139423109</v>
      </c>
    </row>
    <row r="27" ht="12.75">
      <c r="H27" s="28"/>
    </row>
    <row r="28" spans="2:8" ht="13.5">
      <c r="B28" s="2" t="s">
        <v>6</v>
      </c>
      <c r="H28" s="28"/>
    </row>
    <row r="29" spans="2:14" ht="12.75">
      <c r="B29" s="8" t="str">
        <f>'Toys R Us Domestic'!B90</f>
        <v>Toys R Us Domestic</v>
      </c>
      <c r="F29" s="11">
        <f>'Toys R Us Domestic'!F117</f>
        <v>447</v>
      </c>
      <c r="G29" s="11">
        <f>'Toys R Us Domestic'!G117</f>
        <v>264</v>
      </c>
      <c r="H29" s="24">
        <f>'Toys R Us Domestic'!H117</f>
        <v>322</v>
      </c>
      <c r="I29" s="11">
        <f>'Toys R Us Domestic'!I117</f>
        <v>321.0571010248902</v>
      </c>
      <c r="J29" s="11">
        <f>'Toys R Us Domestic'!J117</f>
        <v>321.0571010248902</v>
      </c>
      <c r="K29" s="11">
        <f>'Toys R Us Domestic'!K117</f>
        <v>321.0571010248902</v>
      </c>
      <c r="L29" s="11">
        <f>'Toys R Us Domestic'!L117</f>
        <v>321.0571010248902</v>
      </c>
      <c r="M29" s="11">
        <f>'Toys R Us Domestic'!M117</f>
        <v>321.0571010248902</v>
      </c>
      <c r="N29" s="78">
        <f aca="true" t="shared" si="8" ref="N29:N34">(M29/H29)^(1/5)-1</f>
        <v>-0.0005863387204853021</v>
      </c>
    </row>
    <row r="30" spans="2:14" ht="12.75">
      <c r="B30" s="1" t="str">
        <f>'Toys R Us International'!B44</f>
        <v>Toys R Us International</v>
      </c>
      <c r="F30" s="21">
        <f>'Toys R Us International'!F57</f>
        <v>210</v>
      </c>
      <c r="G30" s="21">
        <f>'Toys R Us International'!G57</f>
        <v>227</v>
      </c>
      <c r="H30" s="25">
        <f>'Toys R Us International'!H57</f>
        <v>295</v>
      </c>
      <c r="I30" s="21">
        <f>'Toys R Us International'!I57</f>
        <v>295</v>
      </c>
      <c r="J30" s="21">
        <f>'Toys R Us International'!J57</f>
        <v>295</v>
      </c>
      <c r="K30" s="21">
        <f>'Toys R Us International'!K57</f>
        <v>295</v>
      </c>
      <c r="L30" s="21">
        <f>'Toys R Us International'!L57</f>
        <v>295</v>
      </c>
      <c r="M30" s="21">
        <f>'Toys R Us International'!M57</f>
        <v>295</v>
      </c>
      <c r="N30" s="78">
        <f t="shared" si="8"/>
        <v>0</v>
      </c>
    </row>
    <row r="31" spans="2:14" ht="12.75">
      <c r="B31" s="1" t="str">
        <f>'Babies R Us'!B44</f>
        <v>Babies R Us</v>
      </c>
      <c r="F31" s="21">
        <f>'Babies R Us'!F57</f>
        <v>197</v>
      </c>
      <c r="G31" s="21">
        <f>'Babies R Us'!G57</f>
        <v>223</v>
      </c>
      <c r="H31" s="25">
        <f>'Babies R Us'!H57</f>
        <v>262</v>
      </c>
      <c r="I31" s="21">
        <f>'Babies R Us'!I57</f>
        <v>262</v>
      </c>
      <c r="J31" s="21">
        <f>'Babies R Us'!J57</f>
        <v>262</v>
      </c>
      <c r="K31" s="21">
        <f>'Babies R Us'!K57</f>
        <v>262</v>
      </c>
      <c r="L31" s="21">
        <f>'Babies R Us'!L57</f>
        <v>262</v>
      </c>
      <c r="M31" s="21">
        <f>'Babies R Us'!M57</f>
        <v>262</v>
      </c>
      <c r="N31" s="78">
        <f t="shared" si="8"/>
        <v>0</v>
      </c>
    </row>
    <row r="32" spans="2:14" ht="12.75">
      <c r="B32" s="1" t="str">
        <f>'Toys R Us.com'!B44</f>
        <v>Toys R Us.com</v>
      </c>
      <c r="F32" s="21">
        <f>'Toys R Us.com'!F57</f>
        <v>-33</v>
      </c>
      <c r="G32" s="21">
        <f>'Toys R Us.com'!G57</f>
        <v>-16</v>
      </c>
      <c r="H32" s="25">
        <f>'Toys R Us.com'!H57</f>
        <v>1</v>
      </c>
      <c r="I32" s="21">
        <f>'Toys R Us.com'!I57</f>
        <v>1</v>
      </c>
      <c r="J32" s="21">
        <f>'Toys R Us.com'!J57</f>
        <v>1</v>
      </c>
      <c r="K32" s="21">
        <f>'Toys R Us.com'!K57</f>
        <v>1</v>
      </c>
      <c r="L32" s="21">
        <f>'Toys R Us.com'!L57</f>
        <v>1</v>
      </c>
      <c r="M32" s="21">
        <f>'Toys R Us.com'!M57</f>
        <v>1</v>
      </c>
      <c r="N32" s="78">
        <f t="shared" si="8"/>
        <v>0</v>
      </c>
    </row>
    <row r="33" spans="2:14" ht="12.75">
      <c r="B33" s="10" t="str">
        <f>'Kids R Us'!B44</f>
        <v>Kids R Us</v>
      </c>
      <c r="C33" s="10"/>
      <c r="D33" s="10"/>
      <c r="E33" s="10"/>
      <c r="F33" s="17">
        <f>'Kids R Us'!F57</f>
        <v>-10</v>
      </c>
      <c r="G33" s="17">
        <f>'Kids R Us'!G57</f>
        <v>-27</v>
      </c>
      <c r="H33" s="26">
        <f>'Kids R Us'!H57</f>
        <v>-20</v>
      </c>
      <c r="I33" s="17">
        <f>'Kids R Us'!I57</f>
        <v>0</v>
      </c>
      <c r="J33" s="17">
        <f>'Kids R Us'!J57</f>
        <v>0</v>
      </c>
      <c r="K33" s="17">
        <f>'Kids R Us'!K57</f>
        <v>0</v>
      </c>
      <c r="L33" s="17">
        <f>'Kids R Us'!L57</f>
        <v>0</v>
      </c>
      <c r="M33" s="17">
        <f>'Kids R Us'!M57</f>
        <v>0</v>
      </c>
      <c r="N33" s="79">
        <f t="shared" si="8"/>
        <v>-1</v>
      </c>
    </row>
    <row r="34" spans="2:14" ht="13.5">
      <c r="B34" s="2" t="s">
        <v>6</v>
      </c>
      <c r="F34" s="11">
        <f aca="true" t="shared" si="9" ref="F34:M34">SUM(F29:F33)</f>
        <v>811</v>
      </c>
      <c r="G34" s="11">
        <f t="shared" si="9"/>
        <v>671</v>
      </c>
      <c r="H34" s="24">
        <f t="shared" si="9"/>
        <v>860</v>
      </c>
      <c r="I34" s="11">
        <f t="shared" si="9"/>
        <v>879.0571010248902</v>
      </c>
      <c r="J34" s="11">
        <f t="shared" si="9"/>
        <v>879.0571010248902</v>
      </c>
      <c r="K34" s="11">
        <f t="shared" si="9"/>
        <v>879.0571010248902</v>
      </c>
      <c r="L34" s="11">
        <f t="shared" si="9"/>
        <v>879.0571010248902</v>
      </c>
      <c r="M34" s="11">
        <f t="shared" si="9"/>
        <v>879.0571010248902</v>
      </c>
      <c r="N34" s="78">
        <f t="shared" si="8"/>
        <v>0.004393115096478217</v>
      </c>
    </row>
    <row r="35" spans="2:13" ht="12.75">
      <c r="B35" s="18" t="s">
        <v>5</v>
      </c>
      <c r="G35" s="9">
        <f aca="true" t="shared" si="10" ref="G35:M35">G34/F34-1</f>
        <v>-0.1726263871763255</v>
      </c>
      <c r="H35" s="27">
        <f t="shared" si="10"/>
        <v>0.28166915052160957</v>
      </c>
      <c r="I35" s="9">
        <f t="shared" si="10"/>
        <v>0.022159419796383917</v>
      </c>
      <c r="J35" s="9">
        <f t="shared" si="10"/>
        <v>0</v>
      </c>
      <c r="K35" s="9">
        <f t="shared" si="10"/>
        <v>0</v>
      </c>
      <c r="L35" s="9">
        <f t="shared" si="10"/>
        <v>0</v>
      </c>
      <c r="M35" s="9">
        <f t="shared" si="10"/>
        <v>0</v>
      </c>
    </row>
    <row r="36" spans="2:13" ht="12.75">
      <c r="B36" s="18" t="s">
        <v>8</v>
      </c>
      <c r="F36" s="9">
        <f>F34/F$15</f>
        <v>0.07173816895179125</v>
      </c>
      <c r="G36" s="9">
        <f aca="true" t="shared" si="11" ref="G36:M36">G34/G$15</f>
        <v>0.0592756183745583</v>
      </c>
      <c r="H36" s="27">
        <f t="shared" si="11"/>
        <v>0.07747747747747748</v>
      </c>
      <c r="I36" s="9">
        <f t="shared" si="11"/>
        <v>0.07952298605768926</v>
      </c>
      <c r="J36" s="9">
        <f t="shared" si="11"/>
        <v>0.07952298605768926</v>
      </c>
      <c r="K36" s="9">
        <f t="shared" si="11"/>
        <v>0.07952298605768926</v>
      </c>
      <c r="L36" s="9">
        <f t="shared" si="11"/>
        <v>0.07952298605768926</v>
      </c>
      <c r="M36" s="9">
        <f t="shared" si="11"/>
        <v>0.07952298605768926</v>
      </c>
    </row>
    <row r="37" ht="12.75">
      <c r="H37" s="28"/>
    </row>
    <row r="38" spans="2:14" ht="12.75">
      <c r="B38" s="10" t="str">
        <f>'Toys Corporate'!B65</f>
        <v>Corporate / Other Expenses</v>
      </c>
      <c r="C38" s="10"/>
      <c r="D38" s="10"/>
      <c r="E38" s="10"/>
      <c r="F38" s="17">
        <f>'Toys Corporate'!F65</f>
        <v>29</v>
      </c>
      <c r="G38" s="17">
        <f>'Toys Corporate'!G65</f>
        <v>23</v>
      </c>
      <c r="H38" s="26">
        <f>'Toys Corporate'!H65</f>
        <v>80</v>
      </c>
      <c r="I38" s="17">
        <f>'Toys Corporate'!I65</f>
        <v>79.66937596454434</v>
      </c>
      <c r="J38" s="17">
        <f>'Toys Corporate'!J65</f>
        <v>79.66937596454434</v>
      </c>
      <c r="K38" s="17">
        <f>'Toys Corporate'!K65</f>
        <v>79.66937596454434</v>
      </c>
      <c r="L38" s="17">
        <f>'Toys Corporate'!L65</f>
        <v>79.66937596454434</v>
      </c>
      <c r="M38" s="17">
        <f>'Toys Corporate'!M65</f>
        <v>79.66937596454434</v>
      </c>
      <c r="N38" s="79">
        <f>(M38/H38)^(1/5)-1</f>
        <v>-0.0008279298898753451</v>
      </c>
    </row>
    <row r="39" spans="2:14" ht="13.5">
      <c r="B39" s="2" t="s">
        <v>9</v>
      </c>
      <c r="F39" s="11">
        <f>F34-F38</f>
        <v>782</v>
      </c>
      <c r="G39" s="11">
        <f aca="true" t="shared" si="12" ref="G39:M39">G34-G38</f>
        <v>648</v>
      </c>
      <c r="H39" s="24">
        <f t="shared" si="12"/>
        <v>780</v>
      </c>
      <c r="I39" s="11">
        <f t="shared" si="12"/>
        <v>799.3877250603459</v>
      </c>
      <c r="J39" s="11">
        <f t="shared" si="12"/>
        <v>799.3877250603459</v>
      </c>
      <c r="K39" s="11">
        <f t="shared" si="12"/>
        <v>799.3877250603459</v>
      </c>
      <c r="L39" s="11">
        <f t="shared" si="12"/>
        <v>799.3877250603459</v>
      </c>
      <c r="M39" s="11">
        <f t="shared" si="12"/>
        <v>799.3877250603459</v>
      </c>
      <c r="N39" s="78">
        <f>(M39/H39)^(1/5)-1</f>
        <v>0.004922510197188368</v>
      </c>
    </row>
    <row r="40" spans="2:13" ht="12.75">
      <c r="B40" s="18" t="s">
        <v>5</v>
      </c>
      <c r="G40" s="9">
        <f aca="true" t="shared" si="13" ref="G40:M40">G39/F39-1</f>
        <v>-0.17135549872122757</v>
      </c>
      <c r="H40" s="27">
        <f t="shared" si="13"/>
        <v>0.20370370370370372</v>
      </c>
      <c r="I40" s="9">
        <f t="shared" si="13"/>
        <v>0.024856057769674367</v>
      </c>
      <c r="J40" s="9">
        <f t="shared" si="13"/>
        <v>0</v>
      </c>
      <c r="K40" s="9">
        <f t="shared" si="13"/>
        <v>0</v>
      </c>
      <c r="L40" s="9">
        <f t="shared" si="13"/>
        <v>0</v>
      </c>
      <c r="M40" s="9">
        <f t="shared" si="13"/>
        <v>0</v>
      </c>
    </row>
    <row r="41" spans="2:14" ht="13.5" thickBot="1">
      <c r="B41" s="19" t="s">
        <v>8</v>
      </c>
      <c r="C41" s="4"/>
      <c r="D41" s="4"/>
      <c r="E41" s="4"/>
      <c r="F41" s="20">
        <f>F39/F$15</f>
        <v>0.06917293233082707</v>
      </c>
      <c r="G41" s="20">
        <f aca="true" t="shared" si="14" ref="G41:M41">G39/G$15</f>
        <v>0.05724381625441696</v>
      </c>
      <c r="H41" s="29">
        <f t="shared" si="14"/>
        <v>0.07027027027027027</v>
      </c>
      <c r="I41" s="20">
        <f t="shared" si="14"/>
        <v>0.07231577885048206</v>
      </c>
      <c r="J41" s="20">
        <f t="shared" si="14"/>
        <v>0.07231577885048206</v>
      </c>
      <c r="K41" s="20">
        <f t="shared" si="14"/>
        <v>0.07231577885048206</v>
      </c>
      <c r="L41" s="20">
        <f t="shared" si="14"/>
        <v>0.07231577885048206</v>
      </c>
      <c r="M41" s="20">
        <f t="shared" si="14"/>
        <v>0.07231577885048206</v>
      </c>
      <c r="N41" s="82"/>
    </row>
    <row r="42" spans="6:13" ht="12.75">
      <c r="F42" s="74">
        <f>(F15-F24-F38)-F39</f>
        <v>0</v>
      </c>
      <c r="G42" s="74">
        <f aca="true" t="shared" si="15" ref="G42:M42">(G15-G24-G38)-G39</f>
        <v>0</v>
      </c>
      <c r="H42" s="74">
        <f t="shared" si="15"/>
        <v>0</v>
      </c>
      <c r="I42" s="74">
        <f t="shared" si="15"/>
        <v>0</v>
      </c>
      <c r="J42" s="74">
        <f t="shared" si="15"/>
        <v>0</v>
      </c>
      <c r="K42" s="74">
        <f t="shared" si="15"/>
        <v>0</v>
      </c>
      <c r="L42" s="74">
        <f t="shared" si="15"/>
        <v>0</v>
      </c>
      <c r="M42" s="74">
        <f t="shared" si="15"/>
        <v>0</v>
      </c>
    </row>
    <row r="43" spans="2:8" ht="13.5">
      <c r="B43" s="2" t="s">
        <v>16</v>
      </c>
      <c r="H43" s="11"/>
    </row>
    <row r="44" spans="2:8" ht="12.75">
      <c r="B44" s="5" t="str">
        <f>'Case Manager'!$K$5</f>
        <v>($ in millions)</v>
      </c>
      <c r="H44" s="11"/>
    </row>
    <row r="45" ht="12.75">
      <c r="B45" s="5"/>
    </row>
    <row r="46" ht="13.5">
      <c r="B46" s="2" t="str">
        <f>'Case Manager'!$D$65</f>
        <v>Base Case</v>
      </c>
    </row>
    <row r="47" spans="2:14" ht="14.25" thickBot="1">
      <c r="B47" s="3"/>
      <c r="C47" s="4"/>
      <c r="D47" s="4"/>
      <c r="E47" s="4"/>
      <c r="F47" s="4"/>
      <c r="G47" s="4"/>
      <c r="H47" s="4"/>
      <c r="I47" s="4"/>
      <c r="J47" s="4"/>
      <c r="K47" s="4"/>
      <c r="L47" s="4"/>
      <c r="M47" s="4"/>
      <c r="N47" s="77"/>
    </row>
    <row r="48" spans="2:14" ht="13.5">
      <c r="B48" s="5" t="str">
        <f>'Case Manager'!$K$6</f>
        <v>For the FYE January 31</v>
      </c>
      <c r="F48" s="12" t="str">
        <f>F7</f>
        <v>Actual</v>
      </c>
      <c r="G48" s="13"/>
      <c r="H48" s="14"/>
      <c r="I48" s="12" t="str">
        <f>I7</f>
        <v>Projected</v>
      </c>
      <c r="J48" s="12"/>
      <c r="K48" s="12"/>
      <c r="L48" s="13"/>
      <c r="M48" s="6"/>
      <c r="N48" s="33" t="s">
        <v>19</v>
      </c>
    </row>
    <row r="49" spans="2:14" ht="12.75">
      <c r="B49" s="7"/>
      <c r="C49" s="7"/>
      <c r="D49" s="7"/>
      <c r="E49" s="7"/>
      <c r="F49" s="15">
        <f>F8</f>
        <v>2003</v>
      </c>
      <c r="G49" s="15">
        <f aca="true" t="shared" si="16" ref="G49:M49">G8</f>
        <v>2004</v>
      </c>
      <c r="H49" s="16">
        <f t="shared" si="16"/>
        <v>2005</v>
      </c>
      <c r="I49" s="15">
        <f t="shared" si="16"/>
        <v>2006</v>
      </c>
      <c r="J49" s="15">
        <f t="shared" si="16"/>
        <v>2007</v>
      </c>
      <c r="K49" s="15">
        <f t="shared" si="16"/>
        <v>2008</v>
      </c>
      <c r="L49" s="15">
        <f t="shared" si="16"/>
        <v>2009</v>
      </c>
      <c r="M49" s="32">
        <f t="shared" si="16"/>
        <v>2010</v>
      </c>
      <c r="N49" s="34" t="s">
        <v>20</v>
      </c>
    </row>
    <row r="50" spans="2:14" ht="13.5">
      <c r="B50" s="2" t="s">
        <v>12</v>
      </c>
      <c r="H50" s="23"/>
      <c r="N50" s="78"/>
    </row>
    <row r="51" spans="2:14" ht="12.75">
      <c r="B51" s="8" t="str">
        <f>'Toys R Us Domestic'!B90</f>
        <v>Toys R Us Domestic</v>
      </c>
      <c r="F51" s="11">
        <f>'Toys R Us Domestic'!F121</f>
        <v>191</v>
      </c>
      <c r="G51" s="11">
        <f>'Toys R Us Domestic'!G121</f>
        <v>194</v>
      </c>
      <c r="H51" s="24">
        <f>'Toys R Us Domestic'!H121</f>
        <v>200</v>
      </c>
      <c r="I51" s="11">
        <f>'Toys R Us Domestic'!I121</f>
        <v>199.41434846266472</v>
      </c>
      <c r="J51" s="11">
        <f>'Toys R Us Domestic'!J121</f>
        <v>199.41434846266472</v>
      </c>
      <c r="K51" s="11">
        <f>'Toys R Us Domestic'!K121</f>
        <v>199.41434846266472</v>
      </c>
      <c r="L51" s="11">
        <f>'Toys R Us Domestic'!L121</f>
        <v>199.41434846266472</v>
      </c>
      <c r="M51" s="11">
        <f>'Toys R Us Domestic'!M121</f>
        <v>199.41434846266472</v>
      </c>
      <c r="N51" s="78">
        <f aca="true" t="shared" si="17" ref="N51:N56">(M51/H51)^(1/5)-1</f>
        <v>-0.0005863387204853021</v>
      </c>
    </row>
    <row r="52" spans="2:14" ht="12.75">
      <c r="B52" s="1" t="str">
        <f>'Toys R Us International'!B44</f>
        <v>Toys R Us International</v>
      </c>
      <c r="F52" s="21">
        <f>'Toys R Us International'!F61</f>
        <v>52</v>
      </c>
      <c r="G52" s="21">
        <f>'Toys R Us International'!G61</f>
        <v>61</v>
      </c>
      <c r="H52" s="25">
        <f>'Toys R Us International'!H61</f>
        <v>75</v>
      </c>
      <c r="I52" s="21">
        <f>'Toys R Us International'!I61</f>
        <v>75</v>
      </c>
      <c r="J52" s="21">
        <f>'Toys R Us International'!J61</f>
        <v>75</v>
      </c>
      <c r="K52" s="21">
        <f>'Toys R Us International'!K61</f>
        <v>75</v>
      </c>
      <c r="L52" s="21">
        <f>'Toys R Us International'!L61</f>
        <v>75</v>
      </c>
      <c r="M52" s="21">
        <f>'Toys R Us International'!M61</f>
        <v>75</v>
      </c>
      <c r="N52" s="78">
        <f t="shared" si="17"/>
        <v>0</v>
      </c>
    </row>
    <row r="53" spans="2:14" ht="12.75">
      <c r="B53" s="1" t="str">
        <f>'Babies R Us'!B44</f>
        <v>Babies R Us</v>
      </c>
      <c r="F53" s="21">
        <f>'Babies R Us'!F61</f>
        <v>28</v>
      </c>
      <c r="G53" s="21">
        <f>'Babies R Us'!G61</f>
        <v>31</v>
      </c>
      <c r="H53" s="25">
        <f>'Babies R Us'!H61</f>
        <v>38</v>
      </c>
      <c r="I53" s="21">
        <f>'Babies R Us'!I61</f>
        <v>38</v>
      </c>
      <c r="J53" s="21">
        <f>'Babies R Us'!J61</f>
        <v>38</v>
      </c>
      <c r="K53" s="21">
        <f>'Babies R Us'!K61</f>
        <v>38</v>
      </c>
      <c r="L53" s="21">
        <f>'Babies R Us'!L61</f>
        <v>38</v>
      </c>
      <c r="M53" s="21">
        <f>'Babies R Us'!M61</f>
        <v>38</v>
      </c>
      <c r="N53" s="78">
        <f t="shared" si="17"/>
        <v>0</v>
      </c>
    </row>
    <row r="54" spans="2:14" ht="12.75">
      <c r="B54" s="1" t="str">
        <f>'Toys R Us.com'!B44</f>
        <v>Toys R Us.com</v>
      </c>
      <c r="F54" s="21">
        <f>'Toys R Us.com'!F61</f>
        <v>4</v>
      </c>
      <c r="G54" s="21">
        <f>'Toys R Us.com'!G61</f>
        <v>2</v>
      </c>
      <c r="H54" s="25">
        <f>'Toys R Us.com'!H61</f>
        <v>0</v>
      </c>
      <c r="I54" s="21">
        <f>'Toys R Us.com'!I61</f>
        <v>0</v>
      </c>
      <c r="J54" s="21">
        <f>'Toys R Us.com'!J61</f>
        <v>0</v>
      </c>
      <c r="K54" s="21">
        <f>'Toys R Us.com'!K61</f>
        <v>0</v>
      </c>
      <c r="L54" s="21">
        <f>'Toys R Us.com'!L61</f>
        <v>0</v>
      </c>
      <c r="M54" s="21">
        <f>'Toys R Us.com'!M61</f>
        <v>0</v>
      </c>
      <c r="N54" s="78" t="str">
        <f>IF(H54=0,"NM",(M54/H54)^(1/5)-1)</f>
        <v>NM</v>
      </c>
    </row>
    <row r="55" spans="2:14" ht="12.75">
      <c r="B55" s="10" t="str">
        <f>'Kids R Us'!B44</f>
        <v>Kids R Us</v>
      </c>
      <c r="C55" s="10"/>
      <c r="D55" s="10"/>
      <c r="E55" s="10"/>
      <c r="F55" s="17">
        <f>'Kids R Us'!F61</f>
        <v>18</v>
      </c>
      <c r="G55" s="17">
        <f>'Kids R Us'!G61</f>
        <v>40</v>
      </c>
      <c r="H55" s="26">
        <f>'Kids R Us'!H61</f>
        <v>5</v>
      </c>
      <c r="I55" s="17">
        <f>'Kids R Us'!I61</f>
        <v>0</v>
      </c>
      <c r="J55" s="17">
        <f>'Kids R Us'!J61</f>
        <v>0</v>
      </c>
      <c r="K55" s="17">
        <f>'Kids R Us'!K61</f>
        <v>0</v>
      </c>
      <c r="L55" s="17">
        <f>'Kids R Us'!L61</f>
        <v>0</v>
      </c>
      <c r="M55" s="17">
        <f>'Kids R Us'!M61</f>
        <v>0</v>
      </c>
      <c r="N55" s="79">
        <f t="shared" si="17"/>
        <v>-1</v>
      </c>
    </row>
    <row r="56" spans="2:14" ht="13.5">
      <c r="B56" s="2" t="s">
        <v>12</v>
      </c>
      <c r="F56" s="11">
        <f aca="true" t="shared" si="18" ref="F56:M56">SUM(F51:F55)</f>
        <v>293</v>
      </c>
      <c r="G56" s="11">
        <f t="shared" si="18"/>
        <v>328</v>
      </c>
      <c r="H56" s="24">
        <f t="shared" si="18"/>
        <v>318</v>
      </c>
      <c r="I56" s="11">
        <f t="shared" si="18"/>
        <v>312.41434846266475</v>
      </c>
      <c r="J56" s="11">
        <f t="shared" si="18"/>
        <v>312.41434846266475</v>
      </c>
      <c r="K56" s="11">
        <f t="shared" si="18"/>
        <v>312.41434846266475</v>
      </c>
      <c r="L56" s="11">
        <f t="shared" si="18"/>
        <v>312.41434846266475</v>
      </c>
      <c r="M56" s="11">
        <f t="shared" si="18"/>
        <v>312.41434846266475</v>
      </c>
      <c r="N56" s="78">
        <f t="shared" si="17"/>
        <v>-0.003537933929329995</v>
      </c>
    </row>
    <row r="57" spans="2:14" ht="12.75">
      <c r="B57" s="18" t="s">
        <v>5</v>
      </c>
      <c r="G57" s="9">
        <f aca="true" t="shared" si="19" ref="G57:M57">G56/F56-1</f>
        <v>0.11945392491467577</v>
      </c>
      <c r="H57" s="27">
        <f t="shared" si="19"/>
        <v>-0.030487804878048808</v>
      </c>
      <c r="I57" s="9">
        <f t="shared" si="19"/>
        <v>-0.017564941941305867</v>
      </c>
      <c r="J57" s="9">
        <f t="shared" si="19"/>
        <v>0</v>
      </c>
      <c r="K57" s="9">
        <f t="shared" si="19"/>
        <v>0</v>
      </c>
      <c r="L57" s="9">
        <f t="shared" si="19"/>
        <v>0</v>
      </c>
      <c r="M57" s="9">
        <f t="shared" si="19"/>
        <v>0</v>
      </c>
      <c r="N57" s="78"/>
    </row>
    <row r="58" spans="2:14" ht="12.75">
      <c r="B58" s="18" t="s">
        <v>8</v>
      </c>
      <c r="F58" s="9">
        <f aca="true" t="shared" si="20" ref="F58:M58">F56/F$15</f>
        <v>0.025917735515258736</v>
      </c>
      <c r="G58" s="9">
        <f t="shared" si="20"/>
        <v>0.028975265017667843</v>
      </c>
      <c r="H58" s="27">
        <f t="shared" si="20"/>
        <v>0.028648648648648647</v>
      </c>
      <c r="I58" s="9">
        <f t="shared" si="20"/>
        <v>0.02826223899227123</v>
      </c>
      <c r="J58" s="9">
        <f t="shared" si="20"/>
        <v>0.02826223899227123</v>
      </c>
      <c r="K58" s="9">
        <f t="shared" si="20"/>
        <v>0.02826223899227123</v>
      </c>
      <c r="L58" s="9">
        <f t="shared" si="20"/>
        <v>0.02826223899227123</v>
      </c>
      <c r="M58" s="9">
        <f t="shared" si="20"/>
        <v>0.02826223899227123</v>
      </c>
      <c r="N58" s="78"/>
    </row>
    <row r="59" spans="5:8" ht="12.75">
      <c r="E59" s="11"/>
      <c r="H59" s="28"/>
    </row>
    <row r="60" spans="2:14" ht="12.75">
      <c r="B60" s="1" t="str">
        <f>'Toys Corporate'!B69</f>
        <v>Other D&amp;A</v>
      </c>
      <c r="F60" s="21">
        <f>'Toys Corporate'!F69</f>
        <v>46</v>
      </c>
      <c r="G60" s="21">
        <f>'Toys Corporate'!G69</f>
        <v>40</v>
      </c>
      <c r="H60" s="25">
        <f>'Toys Corporate'!H69</f>
        <v>36</v>
      </c>
      <c r="I60" s="21">
        <f>'Toys Corporate'!I69</f>
        <v>35.85121918404495</v>
      </c>
      <c r="J60" s="21">
        <f>'Toys Corporate'!J69</f>
        <v>35.85121918404495</v>
      </c>
      <c r="K60" s="21">
        <f>'Toys Corporate'!K69</f>
        <v>35.85121918404495</v>
      </c>
      <c r="L60" s="21">
        <f>'Toys Corporate'!L69</f>
        <v>35.85121918404495</v>
      </c>
      <c r="M60" s="21">
        <f>'Toys Corporate'!M69</f>
        <v>35.85121918404495</v>
      </c>
      <c r="N60" s="78">
        <f>(M60/H60)^(1/5)-1</f>
        <v>-0.0008279298898753451</v>
      </c>
    </row>
    <row r="61" spans="2:14" ht="12.75">
      <c r="B61" s="10" t="str">
        <f>'Toys Corporate'!B73</f>
        <v>Restructuring Charges</v>
      </c>
      <c r="C61" s="10"/>
      <c r="D61" s="10"/>
      <c r="E61" s="10"/>
      <c r="F61" s="17">
        <f>'Toys Corporate'!F73</f>
        <v>0</v>
      </c>
      <c r="G61" s="17">
        <f>'Toys Corporate'!G73</f>
        <v>63</v>
      </c>
      <c r="H61" s="26">
        <f>'Toys Corporate'!H73</f>
        <v>4</v>
      </c>
      <c r="I61" s="17">
        <f>'Toys Corporate'!I73</f>
        <v>0</v>
      </c>
      <c r="J61" s="17">
        <f>'Toys Corporate'!J73</f>
        <v>0</v>
      </c>
      <c r="K61" s="17">
        <f>'Toys Corporate'!K73</f>
        <v>0</v>
      </c>
      <c r="L61" s="17">
        <f>'Toys Corporate'!L73</f>
        <v>0</v>
      </c>
      <c r="M61" s="17">
        <f>'Toys Corporate'!M73</f>
        <v>0</v>
      </c>
      <c r="N61" s="79">
        <f>(M61/H61)^(1/5)-1</f>
        <v>-1</v>
      </c>
    </row>
    <row r="62" spans="2:14" ht="13.5">
      <c r="B62" s="2" t="s">
        <v>13</v>
      </c>
      <c r="F62" s="11">
        <f>F39-F56-F60-F61</f>
        <v>443</v>
      </c>
      <c r="G62" s="11">
        <f aca="true" t="shared" si="21" ref="G62:M62">G39-G56-G60-G61</f>
        <v>217</v>
      </c>
      <c r="H62" s="24">
        <f t="shared" si="21"/>
        <v>422</v>
      </c>
      <c r="I62" s="11">
        <f t="shared" si="21"/>
        <v>451.1221574136362</v>
      </c>
      <c r="J62" s="11">
        <f t="shared" si="21"/>
        <v>451.1221574136362</v>
      </c>
      <c r="K62" s="11">
        <f t="shared" si="21"/>
        <v>451.1221574136362</v>
      </c>
      <c r="L62" s="11">
        <f t="shared" si="21"/>
        <v>451.1221574136362</v>
      </c>
      <c r="M62" s="11">
        <f t="shared" si="21"/>
        <v>451.1221574136362</v>
      </c>
      <c r="N62" s="78">
        <f>(M62/H62)^(1/5)-1</f>
        <v>0.013436032584863478</v>
      </c>
    </row>
    <row r="63" spans="2:13" ht="12.75">
      <c r="B63" s="18" t="s">
        <v>5</v>
      </c>
      <c r="G63" s="9">
        <f aca="true" t="shared" si="22" ref="G63:M63">G62/F62-1</f>
        <v>-0.510158013544018</v>
      </c>
      <c r="H63" s="27">
        <f t="shared" si="22"/>
        <v>0.9447004608294931</v>
      </c>
      <c r="I63" s="9">
        <f t="shared" si="22"/>
        <v>0.06900985169108109</v>
      </c>
      <c r="J63" s="9">
        <f t="shared" si="22"/>
        <v>0</v>
      </c>
      <c r="K63" s="9">
        <f t="shared" si="22"/>
        <v>0</v>
      </c>
      <c r="L63" s="9">
        <f t="shared" si="22"/>
        <v>0</v>
      </c>
      <c r="M63" s="9">
        <f t="shared" si="22"/>
        <v>0</v>
      </c>
    </row>
    <row r="64" spans="2:13" ht="12.75">
      <c r="B64" s="18" t="s">
        <v>8</v>
      </c>
      <c r="F64" s="9">
        <f>F62/F$15</f>
        <v>0.03918620079610792</v>
      </c>
      <c r="G64" s="9">
        <f aca="true" t="shared" si="23" ref="G64:M64">G62/G$15</f>
        <v>0.019169611307420495</v>
      </c>
      <c r="H64" s="27">
        <f t="shared" si="23"/>
        <v>0.03801801801801802</v>
      </c>
      <c r="I64" s="9">
        <f t="shared" si="23"/>
        <v>0.04081029661496758</v>
      </c>
      <c r="J64" s="9">
        <f t="shared" si="23"/>
        <v>0.04081029661496758</v>
      </c>
      <c r="K64" s="9">
        <f t="shared" si="23"/>
        <v>0.04081029661496758</v>
      </c>
      <c r="L64" s="9">
        <f>L62/L$15</f>
        <v>0.04081029661496758</v>
      </c>
      <c r="M64" s="9">
        <f t="shared" si="23"/>
        <v>0.04081029661496758</v>
      </c>
    </row>
    <row r="65" ht="12.75">
      <c r="H65" s="28"/>
    </row>
    <row r="66" spans="2:14" ht="13.5">
      <c r="B66" s="2" t="str">
        <f>'Toys Corporate'!B75</f>
        <v>Net Capex</v>
      </c>
      <c r="F66" s="11">
        <f>'Toys Corporate'!F75</f>
        <v>395</v>
      </c>
      <c r="G66" s="11">
        <f>'Toys Corporate'!G75</f>
        <v>262</v>
      </c>
      <c r="H66" s="24">
        <f>'Toys Corporate'!H75</f>
        <v>269</v>
      </c>
      <c r="I66" s="11">
        <f>'Toys Corporate'!I75</f>
        <v>267.88827668078034</v>
      </c>
      <c r="J66" s="11">
        <f>'Toys Corporate'!J75</f>
        <v>267.88827668078034</v>
      </c>
      <c r="K66" s="11">
        <f>'Toys Corporate'!K75</f>
        <v>267.88827668078034</v>
      </c>
      <c r="L66" s="11">
        <f>'Toys Corporate'!L75</f>
        <v>267.88827668078034</v>
      </c>
      <c r="M66" s="11">
        <f>'Toys Corporate'!M75</f>
        <v>267.88827668078034</v>
      </c>
      <c r="N66" s="78">
        <f>(M66/H66)^(1/5)-1</f>
        <v>-0.0008279298898753451</v>
      </c>
    </row>
    <row r="67" spans="2:14" ht="12.75">
      <c r="B67" s="18" t="s">
        <v>8</v>
      </c>
      <c r="C67" s="8"/>
      <c r="D67" s="8"/>
      <c r="E67" s="8"/>
      <c r="F67" s="31">
        <f>F66/F$15</f>
        <v>0.03494029190623618</v>
      </c>
      <c r="G67" s="31">
        <f aca="true" t="shared" si="24" ref="G67:M67">G66/G$15</f>
        <v>0.02314487632508834</v>
      </c>
      <c r="H67" s="27">
        <f t="shared" si="24"/>
        <v>0.024234234234234233</v>
      </c>
      <c r="I67" s="31">
        <f t="shared" si="24"/>
        <v>0.024234234234234233</v>
      </c>
      <c r="J67" s="31">
        <f t="shared" si="24"/>
        <v>0.024234234234234233</v>
      </c>
      <c r="K67" s="31">
        <f t="shared" si="24"/>
        <v>0.024234234234234233</v>
      </c>
      <c r="L67" s="31">
        <f t="shared" si="24"/>
        <v>0.024234234234234233</v>
      </c>
      <c r="M67" s="31">
        <f t="shared" si="24"/>
        <v>0.024234234234234233</v>
      </c>
      <c r="N67" s="81"/>
    </row>
    <row r="68" spans="2:14" s="8" customFormat="1" ht="12.75">
      <c r="B68" s="18"/>
      <c r="F68" s="31"/>
      <c r="G68" s="31"/>
      <c r="H68" s="27"/>
      <c r="I68" s="31"/>
      <c r="J68" s="31"/>
      <c r="K68" s="31"/>
      <c r="L68" s="31"/>
      <c r="M68" s="31"/>
      <c r="N68" s="81"/>
    </row>
    <row r="69" spans="2:14" ht="14.25" thickBot="1">
      <c r="B69" s="183" t="str">
        <f>'Toys R Us Domestic'!B108</f>
        <v>Proceeds from Store Sales (After-Tax)</v>
      </c>
      <c r="C69" s="4"/>
      <c r="D69" s="4"/>
      <c r="E69" s="4"/>
      <c r="F69" s="256"/>
      <c r="G69" s="256"/>
      <c r="H69" s="257"/>
      <c r="I69" s="256">
        <f>'Toys R Us Domestic'!I108</f>
        <v>0</v>
      </c>
      <c r="J69" s="256">
        <f>'Toys R Us Domestic'!J108</f>
        <v>0</v>
      </c>
      <c r="K69" s="256">
        <f>'Toys R Us Domestic'!K108</f>
        <v>0</v>
      </c>
      <c r="L69" s="256">
        <f>'Toys R Us Domestic'!L108</f>
        <v>0</v>
      </c>
      <c r="M69" s="256">
        <f>'Toys R Us Domestic'!M108</f>
        <v>0</v>
      </c>
      <c r="N69" s="82"/>
    </row>
    <row r="70" spans="6:13" ht="12.75">
      <c r="F70" s="74" t="b">
        <f>F39-F56-F60-F61=F62</f>
        <v>1</v>
      </c>
      <c r="G70" s="74" t="b">
        <f aca="true" t="shared" si="25" ref="G70:M70">G39-G56-G60-G61=G62</f>
        <v>1</v>
      </c>
      <c r="H70" s="74" t="b">
        <f t="shared" si="25"/>
        <v>1</v>
      </c>
      <c r="I70" s="74" t="b">
        <f t="shared" si="25"/>
        <v>1</v>
      </c>
      <c r="J70" s="74" t="b">
        <f t="shared" si="25"/>
        <v>1</v>
      </c>
      <c r="K70" s="74" t="b">
        <f t="shared" si="25"/>
        <v>1</v>
      </c>
      <c r="L70" s="74" t="b">
        <f t="shared" si="25"/>
        <v>1</v>
      </c>
      <c r="M70" s="74" t="b">
        <f t="shared" si="25"/>
        <v>1</v>
      </c>
    </row>
  </sheetData>
  <sheetProtection/>
  <printOptions/>
  <pageMargins left="0.5" right="0.5" top="0.5" bottom="0.5" header="0.5" footer="0.5"/>
  <pageSetup horizontalDpi="600" verticalDpi="600" orientation="landscape" scale="90" r:id="rId1"/>
  <headerFooter alignWithMargins="0">
    <oddFooter>&amp;R&amp;"Times New Roman,Regular"&amp;8Page &amp;P &amp;D / &amp;T</oddFooter>
  </headerFooter>
</worksheet>
</file>

<file path=xl/worksheets/sheet16.xml><?xml version="1.0" encoding="utf-8"?>
<worksheet xmlns="http://schemas.openxmlformats.org/spreadsheetml/2006/main" xmlns:r="http://schemas.openxmlformats.org/officeDocument/2006/relationships">
  <dimension ref="A1:O37"/>
  <sheetViews>
    <sheetView showGridLines="0" zoomScalePageLayoutView="0" workbookViewId="0" topLeftCell="A1">
      <selection activeCell="A1" sqref="A1"/>
    </sheetView>
  </sheetViews>
  <sheetFormatPr defaultColWidth="10.7109375" defaultRowHeight="12.75"/>
  <cols>
    <col min="1" max="13" width="10.7109375" style="1" customWidth="1"/>
    <col min="14" max="14" width="10.7109375" style="76" customWidth="1"/>
    <col min="15" max="16384" width="10.7109375" style="1" customWidth="1"/>
  </cols>
  <sheetData>
    <row r="1" spans="2:14" s="133" customFormat="1" ht="15.75">
      <c r="B1" s="182"/>
      <c r="N1" s="180"/>
    </row>
    <row r="2" ht="13.5">
      <c r="B2" s="2" t="s">
        <v>18</v>
      </c>
    </row>
    <row r="3" ht="12.75">
      <c r="B3" s="5" t="str">
        <f>'Case Manager'!$K$5</f>
        <v>($ in millions)</v>
      </c>
    </row>
    <row r="4" ht="12.75">
      <c r="B4" s="5"/>
    </row>
    <row r="5" ht="13.5">
      <c r="B5" s="2" t="str">
        <f>'Case Manager'!$D$65</f>
        <v>Base Case</v>
      </c>
    </row>
    <row r="6" spans="2:14" ht="14.25" thickBot="1">
      <c r="B6" s="3"/>
      <c r="C6" s="4"/>
      <c r="D6" s="4"/>
      <c r="E6" s="4"/>
      <c r="F6" s="4"/>
      <c r="G6" s="4"/>
      <c r="H6" s="4"/>
      <c r="I6" s="4"/>
      <c r="J6" s="4"/>
      <c r="K6" s="4"/>
      <c r="L6" s="4"/>
      <c r="M6" s="4"/>
      <c r="N6" s="77"/>
    </row>
    <row r="7" spans="2:14" ht="13.5">
      <c r="B7" s="5" t="str">
        <f>'Case Manager'!$K$6</f>
        <v>For the FYE January 31</v>
      </c>
      <c r="F7" s="12" t="str">
        <f>'Consolidated Financial Results'!F7</f>
        <v>Actual</v>
      </c>
      <c r="G7" s="13"/>
      <c r="H7" s="14"/>
      <c r="I7" s="12" t="str">
        <f>'Consolidated Financial Results'!I7</f>
        <v>Projected</v>
      </c>
      <c r="J7" s="12"/>
      <c r="K7" s="12"/>
      <c r="L7" s="13"/>
      <c r="M7" s="6"/>
      <c r="N7" s="33" t="str">
        <f>'Consolidated Financial Results'!N7</f>
        <v>CAGR</v>
      </c>
    </row>
    <row r="8" spans="2:14" ht="12.75">
      <c r="B8" s="7"/>
      <c r="C8" s="7"/>
      <c r="D8" s="7"/>
      <c r="E8" s="7"/>
      <c r="F8" s="15">
        <f>'Consolidated Financial Results'!F8</f>
        <v>2003</v>
      </c>
      <c r="G8" s="15">
        <f>'Consolidated Financial Results'!G8</f>
        <v>2004</v>
      </c>
      <c r="H8" s="16">
        <f>'Consolidated Financial Results'!H8</f>
        <v>2005</v>
      </c>
      <c r="I8" s="15">
        <f>'Consolidated Financial Results'!I8</f>
        <v>2006</v>
      </c>
      <c r="J8" s="15">
        <f>'Consolidated Financial Results'!J8</f>
        <v>2007</v>
      </c>
      <c r="K8" s="15">
        <f>'Consolidated Financial Results'!K8</f>
        <v>2008</v>
      </c>
      <c r="L8" s="15">
        <f>'Consolidated Financial Results'!L8</f>
        <v>2009</v>
      </c>
      <c r="M8" s="32">
        <f>'Consolidated Financial Results'!M8</f>
        <v>2010</v>
      </c>
      <c r="N8" s="34" t="str">
        <f>'Consolidated Financial Results'!N8</f>
        <v>'05-'10</v>
      </c>
    </row>
    <row r="9" spans="2:15" ht="12.75">
      <c r="B9" s="1" t="str">
        <f>'Consolidated Financial Results'!B15</f>
        <v>Consolidated Net Sales</v>
      </c>
      <c r="F9" s="11">
        <f>'Consolidated Financial Results'!F15</f>
        <v>11305</v>
      </c>
      <c r="G9" s="11">
        <f>'Consolidated Financial Results'!G15</f>
        <v>11320</v>
      </c>
      <c r="H9" s="24">
        <f>'Consolidated Financial Results'!H15</f>
        <v>11100</v>
      </c>
      <c r="I9" s="11">
        <f>'Consolidated Financial Results'!I15</f>
        <v>11054.125915080527</v>
      </c>
      <c r="J9" s="11">
        <f>'Consolidated Financial Results'!J15</f>
        <v>11054.125915080527</v>
      </c>
      <c r="K9" s="11">
        <f>'Consolidated Financial Results'!K15</f>
        <v>11054.125915080527</v>
      </c>
      <c r="L9" s="11">
        <f>'Consolidated Financial Results'!L15</f>
        <v>11054.125915080527</v>
      </c>
      <c r="M9" s="11">
        <f>'Consolidated Financial Results'!M15</f>
        <v>11054.125915080527</v>
      </c>
      <c r="N9" s="78">
        <f>(M9/H9)^(1/5)-1</f>
        <v>-0.0008279298898753451</v>
      </c>
      <c r="O9" s="78"/>
    </row>
    <row r="10" spans="2:14" ht="12.75">
      <c r="B10" s="18" t="str">
        <f>'Consolidated Financial Results'!B16</f>
        <v>   Growth</v>
      </c>
      <c r="G10" s="9">
        <f aca="true" t="shared" si="0" ref="G10:M10">G9/F9-1</f>
        <v>0.0013268465280849018</v>
      </c>
      <c r="H10" s="27">
        <f t="shared" si="0"/>
        <v>-0.019434628975265045</v>
      </c>
      <c r="I10" s="9">
        <f t="shared" si="0"/>
        <v>-0.00413280044319575</v>
      </c>
      <c r="J10" s="9">
        <f t="shared" si="0"/>
        <v>0</v>
      </c>
      <c r="K10" s="9">
        <f t="shared" si="0"/>
        <v>0</v>
      </c>
      <c r="L10" s="9">
        <f t="shared" si="0"/>
        <v>0</v>
      </c>
      <c r="M10" s="9">
        <f t="shared" si="0"/>
        <v>0</v>
      </c>
      <c r="N10" s="78"/>
    </row>
    <row r="11" spans="2:13" ht="12.75">
      <c r="B11" s="18"/>
      <c r="G11" s="9"/>
      <c r="H11" s="27"/>
      <c r="I11" s="9"/>
      <c r="J11" s="9"/>
      <c r="K11" s="9"/>
      <c r="L11" s="9"/>
      <c r="M11" s="9"/>
    </row>
    <row r="12" spans="2:14" ht="12.75">
      <c r="B12" s="1" t="str">
        <f>'Consolidated Financial Results'!B24</f>
        <v>COGS &amp; SG&amp;A by Segment</v>
      </c>
      <c r="F12" s="11">
        <f>'Consolidated Financial Results'!F24</f>
        <v>10494</v>
      </c>
      <c r="G12" s="11">
        <f>'Consolidated Financial Results'!G24</f>
        <v>10649</v>
      </c>
      <c r="H12" s="24">
        <f>'Consolidated Financial Results'!H24</f>
        <v>10240</v>
      </c>
      <c r="I12" s="11">
        <f>'Consolidated Financial Results'!I24</f>
        <v>10175.068814055638</v>
      </c>
      <c r="J12" s="11">
        <f>'Consolidated Financial Results'!J24</f>
        <v>10175.068814055638</v>
      </c>
      <c r="K12" s="11">
        <f>'Consolidated Financial Results'!K24</f>
        <v>10175.068814055638</v>
      </c>
      <c r="L12" s="11">
        <f>'Consolidated Financial Results'!L24</f>
        <v>10175.068814055638</v>
      </c>
      <c r="M12" s="11">
        <f>'Consolidated Financial Results'!M24</f>
        <v>10175.068814055638</v>
      </c>
      <c r="N12" s="78">
        <f>(M12/H12)^(1/5)-1</f>
        <v>-0.0012714161154800951</v>
      </c>
    </row>
    <row r="13" spans="2:13" ht="12.75">
      <c r="B13" s="18" t="str">
        <f>'Consolidated Financial Results'!B25</f>
        <v>   Growth</v>
      </c>
      <c r="G13" s="9">
        <f aca="true" t="shared" si="1" ref="G13:M13">G12/F12-1</f>
        <v>0.014770344959024184</v>
      </c>
      <c r="H13" s="27">
        <f t="shared" si="1"/>
        <v>-0.038407362193633166</v>
      </c>
      <c r="I13" s="9">
        <f t="shared" si="1"/>
        <v>-0.006340936127379182</v>
      </c>
      <c r="J13" s="9">
        <f t="shared" si="1"/>
        <v>0</v>
      </c>
      <c r="K13" s="9">
        <f t="shared" si="1"/>
        <v>0</v>
      </c>
      <c r="L13" s="9">
        <f t="shared" si="1"/>
        <v>0</v>
      </c>
      <c r="M13" s="9">
        <f t="shared" si="1"/>
        <v>0</v>
      </c>
    </row>
    <row r="14" spans="2:13" ht="12.75">
      <c r="B14" s="18" t="str">
        <f>'Consolidated Financial Results'!B26</f>
        <v>   Margin</v>
      </c>
      <c r="F14" s="9">
        <f aca="true" t="shared" si="2" ref="F14:L14">F12/F$9</f>
        <v>0.9282618310482088</v>
      </c>
      <c r="G14" s="9">
        <f t="shared" si="2"/>
        <v>0.9407243816254417</v>
      </c>
      <c r="H14" s="27">
        <f t="shared" si="2"/>
        <v>0.9225225225225225</v>
      </c>
      <c r="I14" s="9">
        <f t="shared" si="2"/>
        <v>0.9204770139423109</v>
      </c>
      <c r="J14" s="9">
        <f t="shared" si="2"/>
        <v>0.9204770139423109</v>
      </c>
      <c r="K14" s="9">
        <f t="shared" si="2"/>
        <v>0.9204770139423109</v>
      </c>
      <c r="L14" s="9">
        <f t="shared" si="2"/>
        <v>0.9204770139423109</v>
      </c>
      <c r="M14" s="9">
        <f>M12/M$9</f>
        <v>0.9204770139423109</v>
      </c>
    </row>
    <row r="15" ht="12.75">
      <c r="H15" s="28"/>
    </row>
    <row r="16" spans="1:14" ht="12.75">
      <c r="A16" s="11"/>
      <c r="B16" s="1" t="str">
        <f>'Consolidated Financial Results'!B34</f>
        <v>EBITDA by Segment</v>
      </c>
      <c r="F16" s="11">
        <f>'Consolidated Financial Results'!F34</f>
        <v>811</v>
      </c>
      <c r="G16" s="11">
        <f>'Consolidated Financial Results'!G34</f>
        <v>671</v>
      </c>
      <c r="H16" s="24">
        <f>'Consolidated Financial Results'!H34</f>
        <v>860</v>
      </c>
      <c r="I16" s="11">
        <f>'Consolidated Financial Results'!I34</f>
        <v>879.0571010248902</v>
      </c>
      <c r="J16" s="11">
        <f>'Consolidated Financial Results'!J34</f>
        <v>879.0571010248902</v>
      </c>
      <c r="K16" s="11">
        <f>'Consolidated Financial Results'!K34</f>
        <v>879.0571010248902</v>
      </c>
      <c r="L16" s="11">
        <f>'Consolidated Financial Results'!L34</f>
        <v>879.0571010248902</v>
      </c>
      <c r="M16" s="11">
        <f>'Consolidated Financial Results'!M34</f>
        <v>879.0571010248902</v>
      </c>
      <c r="N16" s="78">
        <f>(M16/H16)^(1/5)-1</f>
        <v>0.004393115096478217</v>
      </c>
    </row>
    <row r="17" spans="2:13" ht="12.75">
      <c r="B17" s="18" t="str">
        <f>'Consolidated Financial Results'!B35</f>
        <v>   Growth</v>
      </c>
      <c r="G17" s="9">
        <f aca="true" t="shared" si="3" ref="G17:M17">G16/F16-1</f>
        <v>-0.1726263871763255</v>
      </c>
      <c r="H17" s="27">
        <f t="shared" si="3"/>
        <v>0.28166915052160957</v>
      </c>
      <c r="I17" s="9">
        <f t="shared" si="3"/>
        <v>0.022159419796383917</v>
      </c>
      <c r="J17" s="9">
        <f t="shared" si="3"/>
        <v>0</v>
      </c>
      <c r="K17" s="9">
        <f t="shared" si="3"/>
        <v>0</v>
      </c>
      <c r="L17" s="9">
        <f t="shared" si="3"/>
        <v>0</v>
      </c>
      <c r="M17" s="9">
        <f t="shared" si="3"/>
        <v>0</v>
      </c>
    </row>
    <row r="18" spans="2:13" ht="12.75">
      <c r="B18" s="18" t="str">
        <f>'Consolidated Financial Results'!B36</f>
        <v>   Margin</v>
      </c>
      <c r="F18" s="9">
        <f aca="true" t="shared" si="4" ref="F18:M18">F16/F$9</f>
        <v>0.07173816895179125</v>
      </c>
      <c r="G18" s="9">
        <f t="shared" si="4"/>
        <v>0.0592756183745583</v>
      </c>
      <c r="H18" s="27">
        <f t="shared" si="4"/>
        <v>0.07747747747747748</v>
      </c>
      <c r="I18" s="9">
        <f t="shared" si="4"/>
        <v>0.07952298605768926</v>
      </c>
      <c r="J18" s="9">
        <f t="shared" si="4"/>
        <v>0.07952298605768926</v>
      </c>
      <c r="K18" s="9">
        <f t="shared" si="4"/>
        <v>0.07952298605768926</v>
      </c>
      <c r="L18" s="9">
        <f t="shared" si="4"/>
        <v>0.07952298605768926</v>
      </c>
      <c r="M18" s="9">
        <f t="shared" si="4"/>
        <v>0.07952298605768926</v>
      </c>
    </row>
    <row r="19" ht="12.75">
      <c r="H19" s="28"/>
    </row>
    <row r="20" spans="2:14" ht="12.75">
      <c r="B20" s="10" t="str">
        <f>'Consolidated Financial Results'!B38</f>
        <v>Corporate / Other Expenses</v>
      </c>
      <c r="C20" s="10"/>
      <c r="D20" s="10"/>
      <c r="E20" s="10"/>
      <c r="F20" s="17">
        <f>'Consolidated Financial Results'!F38</f>
        <v>29</v>
      </c>
      <c r="G20" s="17">
        <f>'Consolidated Financial Results'!G38</f>
        <v>23</v>
      </c>
      <c r="H20" s="26">
        <f>'Consolidated Financial Results'!H38</f>
        <v>80</v>
      </c>
      <c r="I20" s="17">
        <f>'Consolidated Financial Results'!I38</f>
        <v>79.66937596454434</v>
      </c>
      <c r="J20" s="17">
        <f>'Consolidated Financial Results'!J38</f>
        <v>79.66937596454434</v>
      </c>
      <c r="K20" s="17">
        <f>'Consolidated Financial Results'!K38</f>
        <v>79.66937596454434</v>
      </c>
      <c r="L20" s="17">
        <f>'Consolidated Financial Results'!L38</f>
        <v>79.66937596454434</v>
      </c>
      <c r="M20" s="17">
        <f>'Consolidated Financial Results'!M38</f>
        <v>79.66937596454434</v>
      </c>
      <c r="N20" s="79">
        <f>(M20/H20)^(1/5)-1</f>
        <v>-0.0008279298898753451</v>
      </c>
    </row>
    <row r="21" spans="2:14" ht="12.75">
      <c r="B21" s="1" t="str">
        <f>'Consolidated Financial Results'!B39</f>
        <v>Consolidated EBITDA</v>
      </c>
      <c r="F21" s="11">
        <f>'Consolidated Financial Results'!F39</f>
        <v>782</v>
      </c>
      <c r="G21" s="11">
        <f>'Consolidated Financial Results'!G39</f>
        <v>648</v>
      </c>
      <c r="H21" s="24">
        <f>'Consolidated Financial Results'!H39</f>
        <v>780</v>
      </c>
      <c r="I21" s="11">
        <f>'Consolidated Financial Results'!I39</f>
        <v>799.3877250603459</v>
      </c>
      <c r="J21" s="11">
        <f>'Consolidated Financial Results'!J39</f>
        <v>799.3877250603459</v>
      </c>
      <c r="K21" s="11">
        <f>'Consolidated Financial Results'!K39</f>
        <v>799.3877250603459</v>
      </c>
      <c r="L21" s="11">
        <f>'Consolidated Financial Results'!L39</f>
        <v>799.3877250603459</v>
      </c>
      <c r="M21" s="11">
        <f>'Consolidated Financial Results'!M39</f>
        <v>799.3877250603459</v>
      </c>
      <c r="N21" s="78">
        <f>(M21/H21)^(1/5)-1</f>
        <v>0.004922510197188368</v>
      </c>
    </row>
    <row r="22" spans="2:13" ht="12.75">
      <c r="B22" s="18" t="str">
        <f>'Consolidated Financial Results'!B40</f>
        <v>   Growth</v>
      </c>
      <c r="G22" s="9">
        <f aca="true" t="shared" si="5" ref="G22:M22">G21/F21-1</f>
        <v>-0.17135549872122757</v>
      </c>
      <c r="H22" s="27">
        <f t="shared" si="5"/>
        <v>0.20370370370370372</v>
      </c>
      <c r="I22" s="9">
        <f t="shared" si="5"/>
        <v>0.024856057769674367</v>
      </c>
      <c r="J22" s="9">
        <f t="shared" si="5"/>
        <v>0</v>
      </c>
      <c r="K22" s="9">
        <f t="shared" si="5"/>
        <v>0</v>
      </c>
      <c r="L22" s="9">
        <f t="shared" si="5"/>
        <v>0</v>
      </c>
      <c r="M22" s="9">
        <f t="shared" si="5"/>
        <v>0</v>
      </c>
    </row>
    <row r="23" spans="2:14" s="8" customFormat="1" ht="12.75">
      <c r="B23" s="18" t="str">
        <f>'Consolidated Financial Results'!B41</f>
        <v>   Margin</v>
      </c>
      <c r="F23" s="31">
        <f aca="true" t="shared" si="6" ref="F23:M23">F21/F$9</f>
        <v>0.06917293233082707</v>
      </c>
      <c r="G23" s="31">
        <f t="shared" si="6"/>
        <v>0.05724381625441696</v>
      </c>
      <c r="H23" s="27">
        <f t="shared" si="6"/>
        <v>0.07027027027027027</v>
      </c>
      <c r="I23" s="31">
        <f t="shared" si="6"/>
        <v>0.07231577885048206</v>
      </c>
      <c r="J23" s="31">
        <f t="shared" si="6"/>
        <v>0.07231577885048206</v>
      </c>
      <c r="K23" s="31">
        <f>K21/K$9</f>
        <v>0.07231577885048206</v>
      </c>
      <c r="L23" s="31">
        <f t="shared" si="6"/>
        <v>0.07231577885048206</v>
      </c>
      <c r="M23" s="31">
        <f t="shared" si="6"/>
        <v>0.07231577885048206</v>
      </c>
      <c r="N23" s="80"/>
    </row>
    <row r="24" spans="2:13" ht="12.75">
      <c r="B24" s="18"/>
      <c r="C24" s="8"/>
      <c r="D24" s="8"/>
      <c r="E24" s="8"/>
      <c r="F24" s="31"/>
      <c r="G24" s="31"/>
      <c r="H24" s="27"/>
      <c r="I24" s="31"/>
      <c r="J24" s="31"/>
      <c r="K24" s="31"/>
      <c r="L24" s="31"/>
      <c r="M24" s="31"/>
    </row>
    <row r="25" spans="2:14" s="8" customFormat="1" ht="12.75">
      <c r="B25" s="8" t="str">
        <f>'Consolidated Financial Results'!B56</f>
        <v>D&amp;A by Segment</v>
      </c>
      <c r="F25" s="11">
        <f>'Consolidated Financial Results'!F56</f>
        <v>293</v>
      </c>
      <c r="G25" s="11">
        <f>'Consolidated Financial Results'!G56</f>
        <v>328</v>
      </c>
      <c r="H25" s="24">
        <f>'Consolidated Financial Results'!H56</f>
        <v>318</v>
      </c>
      <c r="I25" s="11">
        <f>'Consolidated Financial Results'!I56</f>
        <v>312.41434846266475</v>
      </c>
      <c r="J25" s="11">
        <f>'Consolidated Financial Results'!J56</f>
        <v>312.41434846266475</v>
      </c>
      <c r="K25" s="11">
        <f>'Consolidated Financial Results'!K56</f>
        <v>312.41434846266475</v>
      </c>
      <c r="L25" s="11">
        <f>'Consolidated Financial Results'!L56</f>
        <v>312.41434846266475</v>
      </c>
      <c r="M25" s="11">
        <f>'Consolidated Financial Results'!M56</f>
        <v>312.41434846266475</v>
      </c>
      <c r="N25" s="81">
        <f>(M25/H25)^(1/5)-1</f>
        <v>-0.003537933929329995</v>
      </c>
    </row>
    <row r="26" spans="2:14" ht="12.75">
      <c r="B26" s="1" t="str">
        <f>'Consolidated Financial Results'!B60</f>
        <v>Other D&amp;A</v>
      </c>
      <c r="F26" s="21">
        <f>'Consolidated Financial Results'!F60</f>
        <v>46</v>
      </c>
      <c r="G26" s="21">
        <f>'Consolidated Financial Results'!G60</f>
        <v>40</v>
      </c>
      <c r="H26" s="25">
        <f>'Consolidated Financial Results'!H60</f>
        <v>36</v>
      </c>
      <c r="I26" s="21">
        <f>'Consolidated Financial Results'!I60</f>
        <v>35.85121918404495</v>
      </c>
      <c r="J26" s="21">
        <f>'Consolidated Financial Results'!J60</f>
        <v>35.85121918404495</v>
      </c>
      <c r="K26" s="21">
        <f>'Consolidated Financial Results'!K60</f>
        <v>35.85121918404495</v>
      </c>
      <c r="L26" s="21">
        <f>'Consolidated Financial Results'!L60</f>
        <v>35.85121918404495</v>
      </c>
      <c r="M26" s="21">
        <f>'Consolidated Financial Results'!M60</f>
        <v>35.85121918404495</v>
      </c>
      <c r="N26" s="78">
        <f>(M26/H26)^(1/5)-1</f>
        <v>-0.0008279298898753451</v>
      </c>
    </row>
    <row r="27" spans="2:14" ht="12.75">
      <c r="B27" s="10" t="str">
        <f>'Consolidated Financial Results'!B61</f>
        <v>Restructuring Charges</v>
      </c>
      <c r="C27" s="10"/>
      <c r="D27" s="10"/>
      <c r="E27" s="10"/>
      <c r="F27" s="17">
        <f>'Consolidated Financial Results'!F61</f>
        <v>0</v>
      </c>
      <c r="G27" s="17">
        <f>'Consolidated Financial Results'!G61</f>
        <v>63</v>
      </c>
      <c r="H27" s="26">
        <f>'Consolidated Financial Results'!H61</f>
        <v>4</v>
      </c>
      <c r="I27" s="17">
        <f>'Consolidated Financial Results'!I61</f>
        <v>0</v>
      </c>
      <c r="J27" s="17">
        <f>'Consolidated Financial Results'!J61</f>
        <v>0</v>
      </c>
      <c r="K27" s="17">
        <f>'Consolidated Financial Results'!K61</f>
        <v>0</v>
      </c>
      <c r="L27" s="17">
        <f>'Consolidated Financial Results'!L61</f>
        <v>0</v>
      </c>
      <c r="M27" s="17">
        <f>'Consolidated Financial Results'!M61</f>
        <v>0</v>
      </c>
      <c r="N27" s="79">
        <f>(M27/H27)^(1/5)-1</f>
        <v>-1</v>
      </c>
    </row>
    <row r="28" spans="2:14" ht="12.75">
      <c r="B28" s="1" t="str">
        <f>'Consolidated Financial Results'!B62</f>
        <v>Consolidated EBIT</v>
      </c>
      <c r="F28" s="11">
        <f>'Consolidated Financial Results'!F62</f>
        <v>443</v>
      </c>
      <c r="G28" s="11">
        <f>'Consolidated Financial Results'!G62</f>
        <v>217</v>
      </c>
      <c r="H28" s="24">
        <f>'Consolidated Financial Results'!H62</f>
        <v>422</v>
      </c>
      <c r="I28" s="11">
        <f>'Consolidated Financial Results'!I62</f>
        <v>451.1221574136362</v>
      </c>
      <c r="J28" s="11">
        <f>'Consolidated Financial Results'!J62</f>
        <v>451.1221574136362</v>
      </c>
      <c r="K28" s="11">
        <f>'Consolidated Financial Results'!K62</f>
        <v>451.1221574136362</v>
      </c>
      <c r="L28" s="11">
        <f>'Consolidated Financial Results'!L62</f>
        <v>451.1221574136362</v>
      </c>
      <c r="M28" s="11">
        <f>'Consolidated Financial Results'!M62</f>
        <v>451.1221574136362</v>
      </c>
      <c r="N28" s="78">
        <f>(M28/H28)^(1/5)-1</f>
        <v>0.013436032584863478</v>
      </c>
    </row>
    <row r="29" spans="2:13" ht="12.75">
      <c r="B29" s="18" t="str">
        <f>'Consolidated Financial Results'!B63</f>
        <v>   Growth</v>
      </c>
      <c r="G29" s="9">
        <f aca="true" t="shared" si="7" ref="G29:M29">G28/F28-1</f>
        <v>-0.510158013544018</v>
      </c>
      <c r="H29" s="27">
        <f t="shared" si="7"/>
        <v>0.9447004608294931</v>
      </c>
      <c r="I29" s="9">
        <f t="shared" si="7"/>
        <v>0.06900985169108109</v>
      </c>
      <c r="J29" s="9">
        <f t="shared" si="7"/>
        <v>0</v>
      </c>
      <c r="K29" s="9">
        <f t="shared" si="7"/>
        <v>0</v>
      </c>
      <c r="L29" s="9">
        <f t="shared" si="7"/>
        <v>0</v>
      </c>
      <c r="M29" s="9">
        <f t="shared" si="7"/>
        <v>0</v>
      </c>
    </row>
    <row r="30" spans="2:13" ht="12.75">
      <c r="B30" s="18" t="str">
        <f>'Consolidated Financial Results'!B64</f>
        <v>   Margin</v>
      </c>
      <c r="F30" s="31">
        <f aca="true" t="shared" si="8" ref="F30:M30">F28/F$9</f>
        <v>0.03918620079610792</v>
      </c>
      <c r="G30" s="31">
        <f t="shared" si="8"/>
        <v>0.019169611307420495</v>
      </c>
      <c r="H30" s="27">
        <f t="shared" si="8"/>
        <v>0.03801801801801802</v>
      </c>
      <c r="I30" s="31">
        <f t="shared" si="8"/>
        <v>0.04081029661496758</v>
      </c>
      <c r="J30" s="31">
        <f t="shared" si="8"/>
        <v>0.04081029661496758</v>
      </c>
      <c r="K30" s="31">
        <f t="shared" si="8"/>
        <v>0.04081029661496758</v>
      </c>
      <c r="L30" s="31">
        <f t="shared" si="8"/>
        <v>0.04081029661496758</v>
      </c>
      <c r="M30" s="31">
        <f t="shared" si="8"/>
        <v>0.04081029661496758</v>
      </c>
    </row>
    <row r="31" ht="12.75">
      <c r="H31" s="28"/>
    </row>
    <row r="32" spans="2:15" ht="12.75">
      <c r="B32" s="1" t="str">
        <f>'Consolidated Financial Results'!B66</f>
        <v>Net Capex</v>
      </c>
      <c r="F32" s="11">
        <f>'Consolidated Financial Results'!F66</f>
        <v>395</v>
      </c>
      <c r="G32" s="11">
        <f>'Consolidated Financial Results'!G66</f>
        <v>262</v>
      </c>
      <c r="H32" s="24">
        <f>'Consolidated Financial Results'!H66</f>
        <v>269</v>
      </c>
      <c r="I32" s="11">
        <f>'Consolidated Financial Results'!I66</f>
        <v>267.88827668078034</v>
      </c>
      <c r="J32" s="11">
        <f>'Consolidated Financial Results'!J66</f>
        <v>267.88827668078034</v>
      </c>
      <c r="K32" s="11">
        <f>'Consolidated Financial Results'!K66</f>
        <v>267.88827668078034</v>
      </c>
      <c r="L32" s="11">
        <f>'Consolidated Financial Results'!L66</f>
        <v>267.88827668078034</v>
      </c>
      <c r="M32" s="11">
        <f>'Consolidated Financial Results'!M66</f>
        <v>267.88827668078034</v>
      </c>
      <c r="N32" s="78">
        <f>(M32/H32)^(1/5)-1</f>
        <v>-0.0008279298898753451</v>
      </c>
      <c r="O32" s="78"/>
    </row>
    <row r="33" spans="2:14" ht="12.75">
      <c r="B33" s="18" t="str">
        <f>'Consolidated Financial Results'!B67</f>
        <v>   Margin</v>
      </c>
      <c r="C33" s="8"/>
      <c r="D33" s="8"/>
      <c r="E33" s="8"/>
      <c r="F33" s="31">
        <f aca="true" t="shared" si="9" ref="F33:M33">F32/F$9</f>
        <v>0.03494029190623618</v>
      </c>
      <c r="G33" s="31">
        <f t="shared" si="9"/>
        <v>0.02314487632508834</v>
      </c>
      <c r="H33" s="27">
        <f t="shared" si="9"/>
        <v>0.024234234234234233</v>
      </c>
      <c r="I33" s="31">
        <f t="shared" si="9"/>
        <v>0.024234234234234233</v>
      </c>
      <c r="J33" s="31">
        <f t="shared" si="9"/>
        <v>0.024234234234234233</v>
      </c>
      <c r="K33" s="31">
        <f t="shared" si="9"/>
        <v>0.024234234234234233</v>
      </c>
      <c r="L33" s="31">
        <f t="shared" si="9"/>
        <v>0.024234234234234233</v>
      </c>
      <c r="M33" s="31">
        <f t="shared" si="9"/>
        <v>0.024234234234234233</v>
      </c>
      <c r="N33" s="81"/>
    </row>
    <row r="34" spans="2:14" s="8" customFormat="1" ht="12.75">
      <c r="B34" s="18"/>
      <c r="F34" s="31"/>
      <c r="G34" s="31"/>
      <c r="H34" s="27"/>
      <c r="I34" s="31"/>
      <c r="J34" s="31"/>
      <c r="K34" s="31"/>
      <c r="L34" s="31"/>
      <c r="M34" s="31"/>
      <c r="N34" s="81"/>
    </row>
    <row r="35" spans="2:14" ht="13.5" thickBot="1">
      <c r="B35" s="144" t="str">
        <f>'Consolidated Financial Results'!B69</f>
        <v>Proceeds from Store Sales (After-Tax)</v>
      </c>
      <c r="C35" s="4"/>
      <c r="D35" s="4"/>
      <c r="E35" s="4"/>
      <c r="F35" s="20"/>
      <c r="G35" s="20"/>
      <c r="H35" s="29"/>
      <c r="I35" s="255">
        <f>'Consolidated Financial Results'!I69</f>
        <v>0</v>
      </c>
      <c r="J35" s="57">
        <f>'Consolidated Financial Results'!J69</f>
        <v>0</v>
      </c>
      <c r="K35" s="57">
        <f>'Consolidated Financial Results'!K69</f>
        <v>0</v>
      </c>
      <c r="L35" s="57">
        <f>'Consolidated Financial Results'!L69</f>
        <v>0</v>
      </c>
      <c r="M35" s="57">
        <f>'Consolidated Financial Results'!M69</f>
        <v>0</v>
      </c>
      <c r="N35" s="82"/>
    </row>
    <row r="37" spans="6:13" ht="12.75">
      <c r="F37" s="74">
        <f aca="true" t="shared" si="10" ref="F37:M37">(F9-F12-F20-F25-F26-F27)-F28</f>
        <v>0</v>
      </c>
      <c r="G37" s="74">
        <f t="shared" si="10"/>
        <v>0</v>
      </c>
      <c r="H37" s="74">
        <f t="shared" si="10"/>
        <v>0</v>
      </c>
      <c r="I37" s="74">
        <f t="shared" si="10"/>
        <v>-6.821210263296962E-13</v>
      </c>
      <c r="J37" s="74">
        <f t="shared" si="10"/>
        <v>-6.821210263296962E-13</v>
      </c>
      <c r="K37" s="74">
        <f t="shared" si="10"/>
        <v>-6.821210263296962E-13</v>
      </c>
      <c r="L37" s="74">
        <f t="shared" si="10"/>
        <v>-6.821210263296962E-13</v>
      </c>
      <c r="M37" s="74">
        <f t="shared" si="10"/>
        <v>-6.821210263296962E-13</v>
      </c>
    </row>
  </sheetData>
  <sheetProtection/>
  <printOptions/>
  <pageMargins left="0.5" right="0.5" top="0.5" bottom="0.5" header="0.5" footer="0.5"/>
  <pageSetup horizontalDpi="600" verticalDpi="600" orientation="landscape" scale="90" r:id="rId1"/>
  <headerFooter alignWithMargins="0">
    <oddFooter>&amp;R&amp;"Times New Roman,Regular"&amp;8Page &amp;P &amp;D / &amp;T</oddFooter>
  </headerFooter>
</worksheet>
</file>

<file path=xl/worksheets/sheet17.xml><?xml version="1.0" encoding="utf-8"?>
<worksheet xmlns="http://schemas.openxmlformats.org/spreadsheetml/2006/main" xmlns:r="http://schemas.openxmlformats.org/officeDocument/2006/relationships">
  <dimension ref="A2:R340"/>
  <sheetViews>
    <sheetView showGridLines="0" zoomScale="75" zoomScaleNormal="75" zoomScalePageLayoutView="0" workbookViewId="0" topLeftCell="A284">
      <selection activeCell="P315" sqref="P315"/>
    </sheetView>
  </sheetViews>
  <sheetFormatPr defaultColWidth="10.7109375" defaultRowHeight="12.75"/>
  <cols>
    <col min="1" max="16384" width="10.7109375" style="1" customWidth="1"/>
  </cols>
  <sheetData>
    <row r="2" spans="1:18" ht="15.75">
      <c r="A2" s="76" t="s">
        <v>203</v>
      </c>
      <c r="B2" s="320" t="s">
        <v>187</v>
      </c>
      <c r="C2" s="321"/>
      <c r="D2" s="321"/>
      <c r="E2" s="321"/>
      <c r="F2" s="321"/>
      <c r="G2" s="322"/>
      <c r="H2" s="320" t="s">
        <v>136</v>
      </c>
      <c r="I2" s="320"/>
      <c r="J2" s="320"/>
      <c r="K2" s="320"/>
      <c r="L2" s="320"/>
      <c r="M2" s="323"/>
      <c r="N2" s="320" t="s">
        <v>137</v>
      </c>
      <c r="O2" s="324"/>
      <c r="P2" s="324"/>
      <c r="Q2" s="324"/>
      <c r="R2" s="323"/>
    </row>
    <row r="3" spans="2:18" ht="12.75">
      <c r="B3" s="199" t="str">
        <f>'Case Manager'!$K$5</f>
        <v>($ in millions)</v>
      </c>
      <c r="E3" s="33"/>
      <c r="F3" s="33"/>
      <c r="G3" s="204"/>
      <c r="K3" s="76"/>
      <c r="L3" s="76"/>
      <c r="M3" s="204" t="s">
        <v>192</v>
      </c>
      <c r="R3" s="28"/>
    </row>
    <row r="4" spans="2:18" ht="12.75">
      <c r="B4" s="187"/>
      <c r="E4" s="33"/>
      <c r="F4" s="33"/>
      <c r="G4" s="204"/>
      <c r="K4" s="191" t="s">
        <v>179</v>
      </c>
      <c r="L4" s="191" t="s">
        <v>191</v>
      </c>
      <c r="M4" s="192" t="s">
        <v>193</v>
      </c>
      <c r="R4" s="192" t="s">
        <v>179</v>
      </c>
    </row>
    <row r="5" spans="2:18" ht="12.75">
      <c r="B5" s="187"/>
      <c r="F5" s="195" t="s">
        <v>179</v>
      </c>
      <c r="G5" s="192"/>
      <c r="H5" s="1" t="str">
        <f>'Sources &amp; Uses'!B7</f>
        <v>Cash on Balance Sheet</v>
      </c>
      <c r="K5" s="140">
        <f>'Sources &amp; Uses'!F7</f>
        <v>956</v>
      </c>
      <c r="L5" s="78">
        <f aca="true" t="shared" si="0" ref="L5:L10">K5/K$16</f>
        <v>0.10660124888492417</v>
      </c>
      <c r="M5" s="331">
        <f>H267</f>
        <v>0.0275</v>
      </c>
      <c r="N5" s="1" t="str">
        <f>'Sources &amp; Uses'!H7</f>
        <v>Purchase of Common Stock</v>
      </c>
      <c r="R5" s="207">
        <f>'Sources &amp; Uses'!M7</f>
        <v>5900</v>
      </c>
    </row>
    <row r="6" spans="2:18" ht="12.75">
      <c r="B6" s="187" t="s">
        <v>173</v>
      </c>
      <c r="F6" s="110">
        <f>'Case Manager'!K42</f>
        <v>26.75</v>
      </c>
      <c r="G6" s="28"/>
      <c r="H6" s="1" t="str">
        <f>'Sources &amp; Uses'!B8</f>
        <v>Senior Secured Credit Facility</v>
      </c>
      <c r="K6" s="141">
        <f>'Sources &amp; Uses'!F8</f>
        <v>700</v>
      </c>
      <c r="L6" s="78">
        <f t="shared" si="0"/>
        <v>0.07805530776092774</v>
      </c>
      <c r="M6" s="330">
        <f>I271</f>
        <v>0.0675</v>
      </c>
      <c r="N6" s="1" t="str">
        <f>'Sources &amp; Uses'!H8</f>
        <v>Purchase of Stock Options and Restricted Stock</v>
      </c>
      <c r="R6" s="208">
        <f>'Sources &amp; Uses'!M8</f>
        <v>227</v>
      </c>
    </row>
    <row r="7" spans="2:18" ht="12.75">
      <c r="B7" s="188" t="s">
        <v>182</v>
      </c>
      <c r="C7" s="7"/>
      <c r="D7" s="7"/>
      <c r="E7" s="7"/>
      <c r="F7" s="194">
        <f>F8/F6</f>
        <v>220.5607476635514</v>
      </c>
      <c r="G7" s="189"/>
      <c r="H7" s="1" t="str">
        <f>'Sources &amp; Uses'!B9</f>
        <v>Unsecured Bridge Loan</v>
      </c>
      <c r="K7" s="141">
        <f>'Sources &amp; Uses'!F9</f>
        <v>1900</v>
      </c>
      <c r="L7" s="78">
        <f t="shared" si="0"/>
        <v>0.211864406779661</v>
      </c>
      <c r="M7" s="330">
        <f>I272</f>
        <v>0.1</v>
      </c>
      <c r="N7" s="1" t="str">
        <f>'Sources &amp; Uses'!H9</f>
        <v>Settlement of Equity Security Interests</v>
      </c>
      <c r="R7" s="208">
        <f>'Sources &amp; Uses'!M9</f>
        <v>114</v>
      </c>
    </row>
    <row r="8" spans="2:18" ht="12.75">
      <c r="B8" s="187" t="s">
        <v>174</v>
      </c>
      <c r="F8" s="11">
        <f>'Sources &amp; Uses'!M7</f>
        <v>5900</v>
      </c>
      <c r="G8" s="28"/>
      <c r="H8" s="1" t="str">
        <f>'Sources &amp; Uses'!B10</f>
        <v>Secured European Bridge Loan</v>
      </c>
      <c r="K8" s="141">
        <f>'Sources &amp; Uses'!F10</f>
        <v>1000</v>
      </c>
      <c r="L8" s="78">
        <f t="shared" si="0"/>
        <v>0.11150758251561106</v>
      </c>
      <c r="M8" s="330">
        <f>I273</f>
        <v>0.08</v>
      </c>
      <c r="N8" s="1" t="str">
        <f>'Sources &amp; Uses'!H10</f>
        <v>Purchase of all Warrants</v>
      </c>
      <c r="R8" s="208">
        <f>'Sources &amp; Uses'!M10</f>
        <v>17</v>
      </c>
    </row>
    <row r="9" spans="2:18" ht="12.75">
      <c r="B9" s="187"/>
      <c r="G9" s="28"/>
      <c r="H9" s="1" t="str">
        <f>'Sources &amp; Uses'!B11</f>
        <v>Mortgage Loan Agreements</v>
      </c>
      <c r="K9" s="141">
        <f>'Sources &amp; Uses'!F11</f>
        <v>800</v>
      </c>
      <c r="L9" s="78">
        <f t="shared" si="0"/>
        <v>0.08920606601248884</v>
      </c>
      <c r="M9" s="330">
        <f>I274</f>
        <v>0.0475</v>
      </c>
      <c r="N9" s="1" t="str">
        <f>'Sources &amp; Uses'!H11</f>
        <v>Transaction Fees</v>
      </c>
      <c r="R9" s="208">
        <f>'Sources &amp; Uses'!M11</f>
        <v>362</v>
      </c>
    </row>
    <row r="10" spans="2:18" ht="12.75">
      <c r="B10" s="187" t="s">
        <v>183</v>
      </c>
      <c r="F10" s="21">
        <f>'Sources &amp; Uses'!M8+'Sources &amp; Uses'!M9+'Sources &amp; Uses'!M10+'Sources &amp; Uses'!M12</f>
        <v>394</v>
      </c>
      <c r="G10" s="28"/>
      <c r="H10" s="1" t="str">
        <f>'Sources &amp; Uses'!B12</f>
        <v>Sponsor Equity</v>
      </c>
      <c r="K10" s="141">
        <f>'Sources &amp; Uses'!F12</f>
        <v>1300</v>
      </c>
      <c r="L10" s="78">
        <f t="shared" si="0"/>
        <v>0.14495985727029437</v>
      </c>
      <c r="M10" s="28"/>
      <c r="N10" s="1" t="str">
        <f>'Sources &amp; Uses'!H12</f>
        <v>Severance and Bonus Payments</v>
      </c>
      <c r="R10" s="208">
        <f>'Sources &amp; Uses'!M12</f>
        <v>36</v>
      </c>
    </row>
    <row r="11" spans="2:18" ht="12.75">
      <c r="B11" s="187" t="s">
        <v>175</v>
      </c>
      <c r="F11" s="21">
        <f>'Case Manager'!K43</f>
        <v>2312</v>
      </c>
      <c r="G11" s="28"/>
      <c r="M11" s="28"/>
      <c r="R11" s="28"/>
    </row>
    <row r="12" spans="2:18" ht="12.75">
      <c r="B12" s="188" t="s">
        <v>188</v>
      </c>
      <c r="C12" s="7"/>
      <c r="D12" s="7"/>
      <c r="E12" s="7"/>
      <c r="F12" s="196">
        <f>-'Case Manager'!K44</f>
        <v>-1247</v>
      </c>
      <c r="G12" s="189"/>
      <c r="H12" s="96" t="s">
        <v>195</v>
      </c>
      <c r="K12" s="140">
        <f>SUM(K5:K10)</f>
        <v>6656</v>
      </c>
      <c r="L12" s="78">
        <f>K12/K$16</f>
        <v>0.7421944692239072</v>
      </c>
      <c r="M12" s="28"/>
      <c r="N12" s="96" t="s">
        <v>197</v>
      </c>
      <c r="R12" s="207">
        <f>SUM(R5:R10)</f>
        <v>6656</v>
      </c>
    </row>
    <row r="13" spans="2:18" ht="12.75">
      <c r="B13" s="187" t="s">
        <v>176</v>
      </c>
      <c r="F13" s="11">
        <f>F8+F10+F11+F12</f>
        <v>7359</v>
      </c>
      <c r="G13" s="28"/>
      <c r="M13" s="28"/>
      <c r="R13" s="28"/>
    </row>
    <row r="14" spans="2:18" ht="12.75">
      <c r="B14" s="188" t="s">
        <v>146</v>
      </c>
      <c r="C14" s="7"/>
      <c r="D14" s="7"/>
      <c r="E14" s="7"/>
      <c r="F14" s="196">
        <f>'Sources &amp; Uses'!M11</f>
        <v>362</v>
      </c>
      <c r="G14" s="189"/>
      <c r="H14" s="1" t="s">
        <v>175</v>
      </c>
      <c r="K14" s="21">
        <f>F11</f>
        <v>2312</v>
      </c>
      <c r="L14" s="78">
        <f>K14/K$16</f>
        <v>0.25780553077609275</v>
      </c>
      <c r="M14" s="28"/>
      <c r="N14" s="1" t="str">
        <f>H14</f>
        <v>Assumed Debt</v>
      </c>
      <c r="R14" s="25">
        <f>K14</f>
        <v>2312</v>
      </c>
    </row>
    <row r="15" spans="2:18" ht="12.75">
      <c r="B15" s="187" t="s">
        <v>184</v>
      </c>
      <c r="F15" s="11">
        <f>F13+F14</f>
        <v>7721</v>
      </c>
      <c r="G15" s="28"/>
      <c r="M15" s="28"/>
      <c r="R15" s="28"/>
    </row>
    <row r="16" spans="2:18" ht="12.75">
      <c r="B16" s="187"/>
      <c r="G16" s="28"/>
      <c r="H16" s="96" t="s">
        <v>194</v>
      </c>
      <c r="K16" s="140">
        <f>K12+K14</f>
        <v>8968</v>
      </c>
      <c r="L16" s="78">
        <f>K16/K$16</f>
        <v>1</v>
      </c>
      <c r="M16" s="28"/>
      <c r="N16" s="96" t="s">
        <v>198</v>
      </c>
      <c r="R16" s="207">
        <f>R12+R14</f>
        <v>8968</v>
      </c>
    </row>
    <row r="17" spans="2:18" ht="12.75">
      <c r="B17" s="187" t="s">
        <v>177</v>
      </c>
      <c r="F17" s="11">
        <f>H124</f>
        <v>780</v>
      </c>
      <c r="G17" s="28"/>
      <c r="M17" s="28"/>
      <c r="R17" s="28"/>
    </row>
    <row r="18" spans="2:18" ht="12.75">
      <c r="B18" s="187"/>
      <c r="G18" s="28"/>
      <c r="K18" s="140"/>
      <c r="M18" s="28"/>
      <c r="R18" s="28"/>
    </row>
    <row r="19" spans="2:18" ht="12.75">
      <c r="B19" s="187" t="s">
        <v>186</v>
      </c>
      <c r="F19" s="205">
        <f>F13/F17</f>
        <v>9.434615384615384</v>
      </c>
      <c r="G19" s="28"/>
      <c r="M19" s="28"/>
      <c r="R19" s="28"/>
    </row>
    <row r="20" spans="2:18" ht="12.75">
      <c r="B20" s="187"/>
      <c r="F20" s="205"/>
      <c r="G20" s="28"/>
      <c r="M20" s="28"/>
      <c r="R20" s="28"/>
    </row>
    <row r="21" spans="2:18" ht="12.75">
      <c r="B21" s="187" t="s">
        <v>185</v>
      </c>
      <c r="F21" s="205">
        <f>F15/F17</f>
        <v>9.898717948717948</v>
      </c>
      <c r="G21" s="28"/>
      <c r="M21" s="28"/>
      <c r="R21" s="28"/>
    </row>
    <row r="22" spans="2:18" ht="15.75">
      <c r="B22" s="320" t="s">
        <v>172</v>
      </c>
      <c r="C22" s="321"/>
      <c r="D22" s="321"/>
      <c r="E22" s="321"/>
      <c r="F22" s="321"/>
      <c r="G22" s="322"/>
      <c r="H22" s="320" t="s">
        <v>170</v>
      </c>
      <c r="I22" s="324"/>
      <c r="J22" s="321"/>
      <c r="K22" s="321"/>
      <c r="L22" s="321"/>
      <c r="M22" s="321"/>
      <c r="N22" s="321"/>
      <c r="O22" s="321"/>
      <c r="P22" s="325"/>
      <c r="Q22" s="325"/>
      <c r="R22" s="326"/>
    </row>
    <row r="23" spans="2:18" ht="12.75">
      <c r="B23" s="187"/>
      <c r="F23" s="195" t="s">
        <v>179</v>
      </c>
      <c r="G23" s="220" t="s">
        <v>123</v>
      </c>
      <c r="K23" s="298" t="s">
        <v>4</v>
      </c>
      <c r="L23" s="13" t="s">
        <v>3</v>
      </c>
      <c r="M23" s="308"/>
      <c r="N23" s="308"/>
      <c r="O23" s="308"/>
      <c r="P23" s="308"/>
      <c r="Q23" s="33" t="s">
        <v>19</v>
      </c>
      <c r="R23" s="28"/>
    </row>
    <row r="24" spans="2:18" ht="12.75">
      <c r="B24" s="187" t="str">
        <f>B17</f>
        <v>FYE 2005 EBITDA</v>
      </c>
      <c r="F24" s="215">
        <f>F17</f>
        <v>780</v>
      </c>
      <c r="G24" s="216"/>
      <c r="K24" s="85">
        <f aca="true" t="shared" si="1" ref="K24:P25">H111</f>
        <v>2005</v>
      </c>
      <c r="L24" s="85">
        <f t="shared" si="1"/>
        <v>2006</v>
      </c>
      <c r="M24" s="85">
        <f t="shared" si="1"/>
        <v>2007</v>
      </c>
      <c r="N24" s="85">
        <f t="shared" si="1"/>
        <v>2008</v>
      </c>
      <c r="O24" s="85">
        <f t="shared" si="1"/>
        <v>2009</v>
      </c>
      <c r="P24" s="85">
        <f t="shared" si="1"/>
        <v>2010</v>
      </c>
      <c r="Q24" s="309" t="s">
        <v>20</v>
      </c>
      <c r="R24" s="28"/>
    </row>
    <row r="25" spans="2:18" ht="12.75">
      <c r="B25" s="187"/>
      <c r="F25" s="201"/>
      <c r="G25" s="216"/>
      <c r="H25" s="1" t="str">
        <f>B112</f>
        <v>Consolidated Net Sales</v>
      </c>
      <c r="K25" s="140">
        <f t="shared" si="1"/>
        <v>11100</v>
      </c>
      <c r="L25" s="140">
        <f t="shared" si="1"/>
        <v>11054.125915080527</v>
      </c>
      <c r="M25" s="140">
        <f t="shared" si="1"/>
        <v>11054.125915080527</v>
      </c>
      <c r="N25" s="140">
        <f t="shared" si="1"/>
        <v>11054.125915080527</v>
      </c>
      <c r="O25" s="140">
        <f t="shared" si="1"/>
        <v>11054.125915080527</v>
      </c>
      <c r="P25" s="140">
        <f t="shared" si="1"/>
        <v>11054.125915080527</v>
      </c>
      <c r="Q25" s="78">
        <f>(P25/K25)^(1/5)-1</f>
        <v>-0.0008279298898753451</v>
      </c>
      <c r="R25" s="28"/>
    </row>
    <row r="26" spans="2:18" ht="12.75">
      <c r="B26" s="187" t="str">
        <f>'Sources &amp; Uses'!B8</f>
        <v>Senior Secured Credit Facility</v>
      </c>
      <c r="F26" s="217">
        <f>K6</f>
        <v>700</v>
      </c>
      <c r="G26" s="218">
        <f>SUM(F$26:F26)/F$24</f>
        <v>0.8974358974358975</v>
      </c>
      <c r="H26" s="1" t="str">
        <f>B113</f>
        <v>   Growth</v>
      </c>
      <c r="K26" s="9">
        <f aca="true" t="shared" si="2" ref="K26:P26">H113</f>
        <v>-0.019434628975265045</v>
      </c>
      <c r="L26" s="9">
        <f t="shared" si="2"/>
        <v>-0.00413280044319575</v>
      </c>
      <c r="M26" s="9">
        <f t="shared" si="2"/>
        <v>0</v>
      </c>
      <c r="N26" s="9">
        <f t="shared" si="2"/>
        <v>0</v>
      </c>
      <c r="O26" s="9">
        <f t="shared" si="2"/>
        <v>0</v>
      </c>
      <c r="P26" s="9">
        <f t="shared" si="2"/>
        <v>0</v>
      </c>
      <c r="R26" s="28"/>
    </row>
    <row r="27" spans="2:18" ht="12.75">
      <c r="B27" s="187" t="str">
        <f>'Sources &amp; Uses'!B9</f>
        <v>Unsecured Bridge Loan</v>
      </c>
      <c r="F27" s="217">
        <f>K7</f>
        <v>1900</v>
      </c>
      <c r="G27" s="218">
        <f>SUM(F$26:F27)/F$24</f>
        <v>3.3333333333333335</v>
      </c>
      <c r="R27" s="28"/>
    </row>
    <row r="28" spans="2:18" ht="12.75">
      <c r="B28" s="187" t="str">
        <f>'Sources &amp; Uses'!B10</f>
        <v>Secured European Bridge Loan</v>
      </c>
      <c r="F28" s="217">
        <f>K8</f>
        <v>1000</v>
      </c>
      <c r="G28" s="218">
        <f>SUM(F$26:F28)/F$24</f>
        <v>4.615384615384615</v>
      </c>
      <c r="H28" s="1" t="str">
        <f>B124</f>
        <v>Consolidated EBITDA</v>
      </c>
      <c r="K28" s="140">
        <f>H124</f>
        <v>780</v>
      </c>
      <c r="L28" s="140">
        <f aca="true" t="shared" si="3" ref="L28:P30">I124</f>
        <v>799.3877250603452</v>
      </c>
      <c r="M28" s="140">
        <f t="shared" si="3"/>
        <v>799.3877250603452</v>
      </c>
      <c r="N28" s="140">
        <f t="shared" si="3"/>
        <v>799.3877250603452</v>
      </c>
      <c r="O28" s="140">
        <f t="shared" si="3"/>
        <v>799.3877250603452</v>
      </c>
      <c r="P28" s="140">
        <f t="shared" si="3"/>
        <v>799.3877250603452</v>
      </c>
      <c r="Q28" s="78">
        <f>(P28/K28)^(1/5)-1</f>
        <v>0.004922510197188146</v>
      </c>
      <c r="R28" s="28"/>
    </row>
    <row r="29" spans="2:18" ht="12.75">
      <c r="B29" s="187" t="str">
        <f>'Sources &amp; Uses'!B11</f>
        <v>Mortgage Loan Agreements</v>
      </c>
      <c r="F29" s="217">
        <f>K9</f>
        <v>800</v>
      </c>
      <c r="G29" s="218">
        <f>SUM(F$26:F29)/F$24</f>
        <v>5.641025641025641</v>
      </c>
      <c r="H29" s="1" t="str">
        <f>B125</f>
        <v>   Growth</v>
      </c>
      <c r="K29" s="9">
        <f>H125</f>
        <v>0.20370370370370372</v>
      </c>
      <c r="L29" s="9">
        <f t="shared" si="3"/>
        <v>0.02485605776967348</v>
      </c>
      <c r="M29" s="9">
        <f t="shared" si="3"/>
        <v>0</v>
      </c>
      <c r="N29" s="9">
        <f t="shared" si="3"/>
        <v>0</v>
      </c>
      <c r="O29" s="9">
        <f t="shared" si="3"/>
        <v>0</v>
      </c>
      <c r="P29" s="9">
        <f t="shared" si="3"/>
        <v>0</v>
      </c>
      <c r="R29" s="28"/>
    </row>
    <row r="30" spans="2:18" ht="12.75">
      <c r="B30" s="187" t="str">
        <f>B11</f>
        <v>Assumed Debt</v>
      </c>
      <c r="F30" s="219">
        <f>K14</f>
        <v>2312</v>
      </c>
      <c r="G30" s="221">
        <f>SUM(F$26:F30)/F$24</f>
        <v>8.605128205128205</v>
      </c>
      <c r="H30" s="1" t="str">
        <f>B126</f>
        <v>   Margin</v>
      </c>
      <c r="K30" s="9">
        <f>H126</f>
        <v>0.07027027027027027</v>
      </c>
      <c r="L30" s="9">
        <f t="shared" si="3"/>
        <v>0.07231577885048199</v>
      </c>
      <c r="M30" s="9">
        <f t="shared" si="3"/>
        <v>0.07231577885048199</v>
      </c>
      <c r="N30" s="9">
        <f t="shared" si="3"/>
        <v>0.07231577885048199</v>
      </c>
      <c r="O30" s="9">
        <f t="shared" si="3"/>
        <v>0.07231577885048199</v>
      </c>
      <c r="P30" s="9">
        <f t="shared" si="3"/>
        <v>0.07231577885048199</v>
      </c>
      <c r="R30" s="28"/>
    </row>
    <row r="31" spans="2:18" ht="12.75">
      <c r="B31" s="187" t="s">
        <v>178</v>
      </c>
      <c r="F31" s="215">
        <f>SUM(F26:F30)</f>
        <v>6712</v>
      </c>
      <c r="G31" s="218">
        <f>F31/F24</f>
        <v>8.605128205128205</v>
      </c>
      <c r="I31" s="140"/>
      <c r="R31" s="28"/>
    </row>
    <row r="32" spans="2:18" ht="12.75">
      <c r="B32" s="187"/>
      <c r="G32" s="28"/>
      <c r="H32" s="1" t="str">
        <f>B145</f>
        <v>Total Interest Expense</v>
      </c>
      <c r="K32" s="140"/>
      <c r="L32" s="140">
        <f>I145</f>
        <v>526.9739313072351</v>
      </c>
      <c r="M32" s="140">
        <f>J145</f>
        <v>531.0265345976484</v>
      </c>
      <c r="N32" s="140">
        <f>K145</f>
        <v>534.895138718538</v>
      </c>
      <c r="O32" s="140">
        <f>L145</f>
        <v>538.579348355341</v>
      </c>
      <c r="P32" s="140">
        <f>M145</f>
        <v>542.0647951067002</v>
      </c>
      <c r="R32" s="28"/>
    </row>
    <row r="33" spans="2:18" ht="12.75">
      <c r="B33" s="187"/>
      <c r="G33" s="28"/>
      <c r="Q33" s="33" t="s">
        <v>310</v>
      </c>
      <c r="R33" s="28"/>
    </row>
    <row r="34" spans="2:18" ht="12.75">
      <c r="B34" s="187"/>
      <c r="G34" s="28"/>
      <c r="H34" s="1" t="str">
        <f>$B$241</f>
        <v>Total Debt</v>
      </c>
      <c r="K34" s="140">
        <f aca="true" t="shared" si="4" ref="K34:P34">H241</f>
        <v>6712</v>
      </c>
      <c r="L34" s="140">
        <f t="shared" si="4"/>
        <v>6667.304834859604</v>
      </c>
      <c r="M34" s="140">
        <f t="shared" si="4"/>
        <v>6620.069421077687</v>
      </c>
      <c r="N34" s="140">
        <f t="shared" si="4"/>
        <v>6570.46761141666</v>
      </c>
      <c r="O34" s="140">
        <f t="shared" si="4"/>
        <v>6518.315011392437</v>
      </c>
      <c r="P34" s="140">
        <f t="shared" si="4"/>
        <v>6463.412858119571</v>
      </c>
      <c r="Q34" s="140">
        <f>K34-P34</f>
        <v>248.58714188042904</v>
      </c>
      <c r="R34" s="28"/>
    </row>
    <row r="35" spans="2:18" ht="12.75">
      <c r="B35" s="187"/>
      <c r="G35" s="28"/>
      <c r="H35" s="1" t="str">
        <f>B217</f>
        <v>Cash and Cash Equivalents</v>
      </c>
      <c r="K35" s="200">
        <f aca="true" t="shared" si="5" ref="K35:P35">H217</f>
        <v>1247</v>
      </c>
      <c r="L35" s="200">
        <f t="shared" si="5"/>
        <v>1247</v>
      </c>
      <c r="M35" s="200">
        <f t="shared" si="5"/>
        <v>1247</v>
      </c>
      <c r="N35" s="200">
        <f t="shared" si="5"/>
        <v>1247</v>
      </c>
      <c r="O35" s="200">
        <f t="shared" si="5"/>
        <v>1247</v>
      </c>
      <c r="P35" s="200">
        <f t="shared" si="5"/>
        <v>1247</v>
      </c>
      <c r="R35" s="28"/>
    </row>
    <row r="36" spans="2:18" ht="15.75">
      <c r="B36" s="320" t="s">
        <v>168</v>
      </c>
      <c r="C36" s="321"/>
      <c r="D36" s="321"/>
      <c r="E36" s="321"/>
      <c r="F36" s="321"/>
      <c r="G36" s="322"/>
      <c r="H36" s="1" t="s">
        <v>302</v>
      </c>
      <c r="K36" s="140">
        <f aca="true" t="shared" si="6" ref="K36:P36">K34-K35</f>
        <v>5465</v>
      </c>
      <c r="L36" s="140">
        <f t="shared" si="6"/>
        <v>5420.304834859604</v>
      </c>
      <c r="M36" s="140">
        <f t="shared" si="6"/>
        <v>5373.069421077687</v>
      </c>
      <c r="N36" s="140">
        <f t="shared" si="6"/>
        <v>5323.46761141666</v>
      </c>
      <c r="O36" s="140">
        <f t="shared" si="6"/>
        <v>5271.315011392437</v>
      </c>
      <c r="P36" s="140">
        <f t="shared" si="6"/>
        <v>5216.412858119571</v>
      </c>
      <c r="Q36" s="140"/>
      <c r="R36" s="28"/>
    </row>
    <row r="37" spans="2:18" ht="12.75">
      <c r="B37" s="187"/>
      <c r="D37" s="33" t="s">
        <v>293</v>
      </c>
      <c r="F37" s="298"/>
      <c r="G37" s="299" t="s">
        <v>294</v>
      </c>
      <c r="R37" s="28"/>
    </row>
    <row r="38" spans="2:18" ht="12.75">
      <c r="B38" s="187"/>
      <c r="D38" s="85" t="s">
        <v>296</v>
      </c>
      <c r="F38" s="195" t="s">
        <v>293</v>
      </c>
      <c r="G38" s="220" t="s">
        <v>295</v>
      </c>
      <c r="H38" s="1" t="s">
        <v>306</v>
      </c>
      <c r="K38" s="205">
        <f aca="true" t="shared" si="7" ref="K38:P38">K34/K28</f>
        <v>8.605128205128205</v>
      </c>
      <c r="L38" s="205">
        <f t="shared" si="7"/>
        <v>8.340514403515883</v>
      </c>
      <c r="M38" s="205">
        <f t="shared" si="7"/>
        <v>8.28142491252032</v>
      </c>
      <c r="N38" s="205">
        <f t="shared" si="7"/>
        <v>8.219375161059245</v>
      </c>
      <c r="O38" s="205">
        <f t="shared" si="7"/>
        <v>8.154134479486</v>
      </c>
      <c r="P38" s="205">
        <f t="shared" si="7"/>
        <v>8.085454223895734</v>
      </c>
      <c r="R38" s="28"/>
    </row>
    <row r="39" spans="2:18" ht="12.75">
      <c r="B39" s="187" t="s">
        <v>291</v>
      </c>
      <c r="D39" s="215">
        <f>K10</f>
        <v>1300</v>
      </c>
      <c r="F39" s="9">
        <f>D39/D$41</f>
        <v>1</v>
      </c>
      <c r="G39" s="27">
        <f>G41-G40</f>
        <v>0.9</v>
      </c>
      <c r="H39" s="1" t="s">
        <v>303</v>
      </c>
      <c r="K39" s="205">
        <f aca="true" t="shared" si="8" ref="K39:P39">K36/K28</f>
        <v>7.006410256410256</v>
      </c>
      <c r="L39" s="205">
        <f t="shared" si="8"/>
        <v>6.780570510324547</v>
      </c>
      <c r="M39" s="205">
        <f t="shared" si="8"/>
        <v>6.7214810193289845</v>
      </c>
      <c r="N39" s="205">
        <f t="shared" si="8"/>
        <v>6.659431267867911</v>
      </c>
      <c r="O39" s="205">
        <f t="shared" si="8"/>
        <v>6.5941905862946655</v>
      </c>
      <c r="P39" s="205">
        <f t="shared" si="8"/>
        <v>6.5255103307044</v>
      </c>
      <c r="R39" s="28"/>
    </row>
    <row r="40" spans="2:18" ht="12.75">
      <c r="B40" s="187" t="s">
        <v>292</v>
      </c>
      <c r="D40" s="219">
        <f>'Case Manager'!K46</f>
        <v>0</v>
      </c>
      <c r="F40" s="300">
        <f>D40/D$41</f>
        <v>0</v>
      </c>
      <c r="G40" s="301">
        <f>'Case Manager'!K47</f>
        <v>0.1</v>
      </c>
      <c r="H40" s="1" t="s">
        <v>304</v>
      </c>
      <c r="K40" s="205"/>
      <c r="L40" s="205">
        <f>L28/L32</f>
        <v>1.5169397906977073</v>
      </c>
      <c r="M40" s="205">
        <f>M28/M32</f>
        <v>1.50536305246221</v>
      </c>
      <c r="N40" s="205">
        <f>N28/N32</f>
        <v>1.4944755844584023</v>
      </c>
      <c r="O40" s="205">
        <f>O28/O32</f>
        <v>1.4842524643795465</v>
      </c>
      <c r="P40" s="205">
        <f>P28/P32</f>
        <v>1.4747088028526063</v>
      </c>
      <c r="R40" s="28"/>
    </row>
    <row r="41" spans="2:18" ht="12.75">
      <c r="B41" s="187" t="s">
        <v>110</v>
      </c>
      <c r="D41" s="215">
        <f>SUM(D39:D40)</f>
        <v>1300</v>
      </c>
      <c r="F41" s="9">
        <f>SUM(F39:F40)</f>
        <v>1</v>
      </c>
      <c r="G41" s="27">
        <f>F41</f>
        <v>1</v>
      </c>
      <c r="H41" s="185" t="s">
        <v>305</v>
      </c>
      <c r="K41" s="205"/>
      <c r="L41" s="205">
        <f>I170/L32</f>
        <v>1.008587743725963</v>
      </c>
      <c r="M41" s="205">
        <f>J170/M32</f>
        <v>1.0008905652563573</v>
      </c>
      <c r="N41" s="205">
        <f>K170/N32</f>
        <v>0.9936516709665596</v>
      </c>
      <c r="O41" s="205">
        <f>L170/O32</f>
        <v>0.9868544904341467</v>
      </c>
      <c r="P41" s="205">
        <f>M170/P32</f>
        <v>0.9805090704607452</v>
      </c>
      <c r="R41" s="28"/>
    </row>
    <row r="42" spans="2:18" ht="12.75">
      <c r="B42" s="187"/>
      <c r="G42" s="28"/>
      <c r="R42" s="28"/>
    </row>
    <row r="43" spans="2:18" ht="15.75">
      <c r="B43" s="320" t="s">
        <v>169</v>
      </c>
      <c r="C43" s="321"/>
      <c r="D43" s="321"/>
      <c r="E43" s="321"/>
      <c r="F43" s="321"/>
      <c r="G43" s="322"/>
      <c r="H43" s="320" t="s">
        <v>171</v>
      </c>
      <c r="I43" s="321"/>
      <c r="J43" s="321"/>
      <c r="K43" s="321"/>
      <c r="L43" s="321"/>
      <c r="M43" s="321"/>
      <c r="N43" s="321"/>
      <c r="O43" s="321"/>
      <c r="P43" s="321"/>
      <c r="Q43" s="321"/>
      <c r="R43" s="322"/>
    </row>
    <row r="44" spans="2:18" ht="12.75">
      <c r="B44" s="187"/>
      <c r="F44" s="195" t="s">
        <v>179</v>
      </c>
      <c r="G44" s="28"/>
      <c r="H44" s="8"/>
      <c r="I44" s="313" t="s">
        <v>11</v>
      </c>
      <c r="J44" s="76"/>
      <c r="K44" s="33"/>
      <c r="L44" s="76"/>
      <c r="M44" s="33"/>
      <c r="N44" s="76"/>
      <c r="O44" s="33" t="s">
        <v>279</v>
      </c>
      <c r="P44" s="33"/>
      <c r="Q44" s="76"/>
      <c r="R44" s="28"/>
    </row>
    <row r="45" spans="2:18" ht="13.5" thickBot="1">
      <c r="B45" s="187" t="str">
        <f>'Sources &amp; Uses'!B16</f>
        <v>Advisory Fees &amp; Expenses</v>
      </c>
      <c r="F45" s="140">
        <f>'Sources &amp; Uses'!F16</f>
        <v>78</v>
      </c>
      <c r="G45" s="28"/>
      <c r="H45" s="8"/>
      <c r="I45" s="273" t="s">
        <v>123</v>
      </c>
      <c r="J45" s="77"/>
      <c r="K45" s="273" t="s">
        <v>279</v>
      </c>
      <c r="L45" s="273"/>
      <c r="M45" s="273" t="s">
        <v>299</v>
      </c>
      <c r="N45" s="77"/>
      <c r="O45" s="273" t="s">
        <v>300</v>
      </c>
      <c r="P45" s="273"/>
      <c r="Q45" s="273" t="s">
        <v>299</v>
      </c>
      <c r="R45" s="28"/>
    </row>
    <row r="46" spans="2:18" ht="12.75">
      <c r="B46" s="187" t="str">
        <f>'Sources &amp; Uses'!B17</f>
        <v>Financing Fees</v>
      </c>
      <c r="F46" s="141">
        <f>'Sources &amp; Uses'!F17</f>
        <v>135</v>
      </c>
      <c r="G46" s="28"/>
      <c r="H46" s="8"/>
      <c r="I46" s="311">
        <f>B323</f>
        <v>7</v>
      </c>
      <c r="K46" s="78" t="e">
        <f>J323</f>
        <v>#NUM!</v>
      </c>
      <c r="M46" s="140">
        <f>K323</f>
        <v>-1300</v>
      </c>
      <c r="O46" s="78" t="e">
        <f>J334</f>
        <v>#NUM!</v>
      </c>
      <c r="Q46" s="140">
        <f>K334</f>
        <v>-1219</v>
      </c>
      <c r="R46" s="28"/>
    </row>
    <row r="47" spans="2:18" ht="12.75">
      <c r="B47" s="187" t="str">
        <f>'Sources &amp; Uses'!B18</f>
        <v>Sponsor Fees</v>
      </c>
      <c r="F47" s="141">
        <f>'Sources &amp; Uses'!F18</f>
        <v>81</v>
      </c>
      <c r="G47" s="28"/>
      <c r="H47" s="8"/>
      <c r="I47" s="311">
        <f aca="true" t="shared" si="9" ref="I47:I52">B324</f>
        <v>7.5</v>
      </c>
      <c r="K47" s="78">
        <f aca="true" t="shared" si="10" ref="K47:K52">J324</f>
        <v>-0.2649267165478868</v>
      </c>
      <c r="M47" s="141">
        <f aca="true" t="shared" si="11" ref="M47:M52">K324</f>
        <v>-1021.0049201669817</v>
      </c>
      <c r="O47" s="78">
        <f aca="true" t="shared" si="12" ref="O47:O52">J335</f>
        <v>-0.2554076537197727</v>
      </c>
      <c r="Q47" s="141">
        <f aca="true" t="shared" si="13" ref="Q47:Q52">K335</f>
        <v>-940.0049201669817</v>
      </c>
      <c r="R47" s="28"/>
    </row>
    <row r="48" spans="2:18" ht="12.75">
      <c r="B48" s="187" t="str">
        <f>'Sources &amp; Uses'!B19</f>
        <v>Other</v>
      </c>
      <c r="F48" s="200">
        <f>'Sources &amp; Uses'!F19</f>
        <v>68</v>
      </c>
      <c r="G48" s="28"/>
      <c r="H48" s="8"/>
      <c r="I48" s="316">
        <f t="shared" si="9"/>
        <v>8</v>
      </c>
      <c r="J48" s="36"/>
      <c r="K48" s="317">
        <f t="shared" si="10"/>
        <v>-0.12189695284185986</v>
      </c>
      <c r="L48" s="36"/>
      <c r="M48" s="318">
        <f t="shared" si="11"/>
        <v>-621.311057636809</v>
      </c>
      <c r="N48" s="36"/>
      <c r="O48" s="317">
        <f t="shared" si="12"/>
        <v>-0.11052568107901062</v>
      </c>
      <c r="P48" s="36"/>
      <c r="Q48" s="319">
        <f t="shared" si="13"/>
        <v>-540.311057636809</v>
      </c>
      <c r="R48" s="28"/>
    </row>
    <row r="49" spans="2:18" ht="12.75">
      <c r="B49" s="213" t="s">
        <v>110</v>
      </c>
      <c r="C49" s="96"/>
      <c r="D49" s="96"/>
      <c r="E49" s="96"/>
      <c r="F49" s="214">
        <f>SUM(F45:F48)</f>
        <v>362</v>
      </c>
      <c r="G49" s="28"/>
      <c r="H49" s="8"/>
      <c r="I49" s="311">
        <f t="shared" si="9"/>
        <v>8.5</v>
      </c>
      <c r="K49" s="78">
        <f t="shared" si="10"/>
        <v>-0.03669032886956913</v>
      </c>
      <c r="M49" s="141">
        <f t="shared" si="11"/>
        <v>-221.61719510663625</v>
      </c>
      <c r="O49" s="78">
        <f t="shared" si="12"/>
        <v>-0.024215647113432825</v>
      </c>
      <c r="Q49" s="141">
        <f t="shared" si="13"/>
        <v>-140.61719510663625</v>
      </c>
      <c r="R49" s="28"/>
    </row>
    <row r="50" spans="2:18" ht="12.75">
      <c r="B50" s="187"/>
      <c r="G50" s="28"/>
      <c r="H50" s="8"/>
      <c r="I50" s="311">
        <f t="shared" si="9"/>
        <v>9</v>
      </c>
      <c r="K50" s="78">
        <f t="shared" si="10"/>
        <v>0.02352369854222114</v>
      </c>
      <c r="M50" s="141">
        <f t="shared" si="11"/>
        <v>160.2690006811829</v>
      </c>
      <c r="O50" s="78">
        <f t="shared" si="12"/>
        <v>0.03677814079873798</v>
      </c>
      <c r="Q50" s="141">
        <f t="shared" si="13"/>
        <v>241.2690006811829</v>
      </c>
      <c r="R50" s="28"/>
    </row>
    <row r="51" spans="2:18" ht="12.75">
      <c r="B51" s="187"/>
      <c r="G51" s="28"/>
      <c r="H51" s="8"/>
      <c r="I51" s="311">
        <f t="shared" si="9"/>
        <v>9.5</v>
      </c>
      <c r="K51" s="78">
        <f t="shared" si="10"/>
        <v>0.06960960900825075</v>
      </c>
      <c r="M51" s="141">
        <f t="shared" si="11"/>
        <v>519.9934769583383</v>
      </c>
      <c r="O51" s="78">
        <f t="shared" si="12"/>
        <v>0.08346085526506752</v>
      </c>
      <c r="Q51" s="141">
        <f t="shared" si="13"/>
        <v>600.9934769583383</v>
      </c>
      <c r="R51" s="28"/>
    </row>
    <row r="52" spans="2:18" ht="12.75">
      <c r="B52" s="188"/>
      <c r="C52" s="7"/>
      <c r="D52" s="7"/>
      <c r="E52" s="7"/>
      <c r="F52" s="7"/>
      <c r="G52" s="189"/>
      <c r="H52" s="188"/>
      <c r="I52" s="312">
        <f t="shared" si="9"/>
        <v>10</v>
      </c>
      <c r="J52" s="7"/>
      <c r="K52" s="315">
        <f t="shared" si="10"/>
        <v>0.10889746280162971</v>
      </c>
      <c r="L52" s="7"/>
      <c r="M52" s="314">
        <f t="shared" si="11"/>
        <v>879.717953235494</v>
      </c>
      <c r="N52" s="7"/>
      <c r="O52" s="315">
        <f t="shared" si="12"/>
        <v>0.12325747948008892</v>
      </c>
      <c r="P52" s="7"/>
      <c r="Q52" s="314">
        <f t="shared" si="13"/>
        <v>960.717953235494</v>
      </c>
      <c r="R52" s="189"/>
    </row>
    <row r="54" spans="1:17" ht="15.75">
      <c r="A54" s="76" t="s">
        <v>203</v>
      </c>
      <c r="B54" s="190" t="s">
        <v>166</v>
      </c>
      <c r="C54" s="190"/>
      <c r="D54" s="190"/>
      <c r="E54" s="190"/>
      <c r="F54" s="190"/>
      <c r="G54" s="190"/>
      <c r="H54" s="190"/>
      <c r="I54" s="190"/>
      <c r="J54" s="190"/>
      <c r="K54" s="190"/>
      <c r="L54" s="190"/>
      <c r="M54" s="190"/>
      <c r="Q54" s="1" t="s">
        <v>196</v>
      </c>
    </row>
    <row r="55" spans="2:13" ht="14.25" thickBot="1">
      <c r="B55" s="3"/>
      <c r="C55" s="4"/>
      <c r="D55" s="4"/>
      <c r="E55" s="4"/>
      <c r="F55" s="4"/>
      <c r="G55" s="4"/>
      <c r="H55" s="4"/>
      <c r="I55" s="4"/>
      <c r="J55" s="4"/>
      <c r="K55" s="4"/>
      <c r="L55" s="4"/>
      <c r="M55" s="4"/>
    </row>
    <row r="56" spans="2:13" ht="13.5">
      <c r="B56" s="5" t="str">
        <f>'Case Manager'!K5</f>
        <v>($ in millions)</v>
      </c>
      <c r="F56" s="86" t="s">
        <v>122</v>
      </c>
      <c r="G56" s="6"/>
      <c r="H56" s="87"/>
      <c r="J56" s="158" t="s">
        <v>132</v>
      </c>
      <c r="L56" s="158" t="s">
        <v>133</v>
      </c>
      <c r="M56" s="158"/>
    </row>
    <row r="57" spans="2:13" ht="12.75">
      <c r="B57" s="7"/>
      <c r="C57" s="7"/>
      <c r="D57" s="7"/>
      <c r="E57" s="7"/>
      <c r="F57" s="88">
        <v>38017</v>
      </c>
      <c r="G57" s="88"/>
      <c r="H57" s="88">
        <v>38381</v>
      </c>
      <c r="I57" s="7"/>
      <c r="J57" s="157" t="s">
        <v>131</v>
      </c>
      <c r="K57" s="7"/>
      <c r="L57" s="157" t="s">
        <v>134</v>
      </c>
      <c r="M57" s="157"/>
    </row>
    <row r="58" spans="2:13" ht="12.75">
      <c r="B58" s="89" t="s">
        <v>51</v>
      </c>
      <c r="C58" s="8"/>
      <c r="D58" s="8"/>
      <c r="E58" s="8"/>
      <c r="F58" s="90"/>
      <c r="G58" s="90"/>
      <c r="H58" s="90"/>
      <c r="I58" s="90"/>
      <c r="J58" s="90"/>
      <c r="K58" s="90"/>
      <c r="L58" s="90"/>
      <c r="M58" s="90"/>
    </row>
    <row r="59" spans="2:13" ht="12.75">
      <c r="B59" s="1" t="s">
        <v>52</v>
      </c>
      <c r="F59" s="92">
        <f>'Current Balance Sheet'!F7+'Current Balance Sheet'!F8</f>
        <v>2003</v>
      </c>
      <c r="G59" s="92"/>
      <c r="H59" s="92">
        <f>'Current Balance Sheet'!H7+'Current Balance Sheet'!H8</f>
        <v>2203</v>
      </c>
      <c r="I59" s="91"/>
      <c r="J59" s="92">
        <f>-K5</f>
        <v>-956</v>
      </c>
      <c r="K59" s="91"/>
      <c r="L59" s="92">
        <f>SUM(H59,J59)</f>
        <v>1247</v>
      </c>
      <c r="M59" s="91"/>
    </row>
    <row r="60" spans="2:13" ht="12.75">
      <c r="B60" s="1" t="s">
        <v>54</v>
      </c>
      <c r="F60" s="73">
        <f>'Current Balance Sheet'!F9</f>
        <v>146</v>
      </c>
      <c r="G60" s="8"/>
      <c r="H60" s="73">
        <f>'Current Balance Sheet'!H9</f>
        <v>153</v>
      </c>
      <c r="I60" s="93"/>
      <c r="J60" s="73"/>
      <c r="K60" s="93"/>
      <c r="L60" s="73">
        <f aca="true" t="shared" si="14" ref="L60:L69">SUM(H60,J60)</f>
        <v>153</v>
      </c>
      <c r="M60" s="93"/>
    </row>
    <row r="61" spans="2:13" ht="12.75">
      <c r="B61" s="1" t="s">
        <v>55</v>
      </c>
      <c r="F61" s="73">
        <f>'Current Balance Sheet'!F10</f>
        <v>2094</v>
      </c>
      <c r="G61" s="8"/>
      <c r="H61" s="73">
        <f>'Current Balance Sheet'!H10</f>
        <v>1884</v>
      </c>
      <c r="I61" s="93"/>
      <c r="J61" s="73"/>
      <c r="K61" s="93"/>
      <c r="L61" s="73">
        <f t="shared" si="14"/>
        <v>1884</v>
      </c>
      <c r="M61" s="93"/>
    </row>
    <row r="62" spans="2:13" ht="12.75">
      <c r="B62" s="10" t="s">
        <v>237</v>
      </c>
      <c r="C62" s="10"/>
      <c r="D62" s="10"/>
      <c r="E62" s="10"/>
      <c r="F62" s="17">
        <f>SUM('Current Balance Sheet'!F11:F13)</f>
        <v>486</v>
      </c>
      <c r="G62" s="10"/>
      <c r="H62" s="17">
        <f>SUM('Current Balance Sheet'!H11:H13)</f>
        <v>167</v>
      </c>
      <c r="I62" s="94"/>
      <c r="J62" s="17"/>
      <c r="K62" s="94"/>
      <c r="L62" s="17">
        <f t="shared" si="14"/>
        <v>167</v>
      </c>
      <c r="M62" s="94"/>
    </row>
    <row r="63" spans="2:13" ht="12.75">
      <c r="B63" s="1" t="s">
        <v>59</v>
      </c>
      <c r="F63" s="11">
        <f>SUM(F59:F62)</f>
        <v>4729</v>
      </c>
      <c r="H63" s="11">
        <f>SUM(H59:H62)</f>
        <v>4407</v>
      </c>
      <c r="I63" s="11"/>
      <c r="J63" s="11">
        <f>SUM(J59:J62)</f>
        <v>-956</v>
      </c>
      <c r="K63" s="11"/>
      <c r="L63" s="11">
        <f>SUM(L59:L62)</f>
        <v>3451</v>
      </c>
      <c r="M63" s="11"/>
    </row>
    <row r="64" ht="12.75">
      <c r="B64" s="30"/>
    </row>
    <row r="65" spans="2:13" ht="12.75">
      <c r="B65" s="1" t="s">
        <v>127</v>
      </c>
      <c r="F65" s="11">
        <f>'Current Balance Sheet'!F19</f>
        <v>4439</v>
      </c>
      <c r="H65" s="11">
        <f>'Current Balance Sheet'!H19</f>
        <v>4339</v>
      </c>
      <c r="I65" s="11"/>
      <c r="J65" s="11"/>
      <c r="K65" s="11"/>
      <c r="L65" s="11">
        <f t="shared" si="14"/>
        <v>4339</v>
      </c>
      <c r="M65" s="11"/>
    </row>
    <row r="66" spans="6:13" ht="12.75">
      <c r="F66" s="95"/>
      <c r="H66" s="95"/>
      <c r="I66" s="95"/>
      <c r="J66" s="11"/>
      <c r="K66" s="95"/>
      <c r="L66" s="11"/>
      <c r="M66" s="95"/>
    </row>
    <row r="67" spans="2:13" ht="12.75">
      <c r="B67" s="1" t="s">
        <v>64</v>
      </c>
      <c r="F67" s="73">
        <f>'Current Balance Sheet'!F21</f>
        <v>348</v>
      </c>
      <c r="G67" s="8"/>
      <c r="H67" s="73">
        <f>'Current Balance Sheet'!H21</f>
        <v>353</v>
      </c>
      <c r="I67" s="93"/>
      <c r="J67" s="73">
        <f>-H67</f>
        <v>-353</v>
      </c>
      <c r="K67" s="93"/>
      <c r="L67" s="73">
        <f t="shared" si="14"/>
        <v>0</v>
      </c>
      <c r="M67" s="93"/>
    </row>
    <row r="68" spans="2:13" ht="12.75">
      <c r="B68" s="1" t="s">
        <v>128</v>
      </c>
      <c r="F68" s="93">
        <v>0</v>
      </c>
      <c r="G68" s="8"/>
      <c r="H68" s="93">
        <v>0</v>
      </c>
      <c r="I68" s="93"/>
      <c r="J68" s="73">
        <f>E103</f>
        <v>2684</v>
      </c>
      <c r="K68" s="93"/>
      <c r="L68" s="73">
        <f t="shared" si="14"/>
        <v>2684</v>
      </c>
      <c r="M68" s="93"/>
    </row>
    <row r="69" spans="2:15" ht="12.75">
      <c r="B69" s="1" t="s">
        <v>67</v>
      </c>
      <c r="F69" s="73">
        <f>SUM('Current Balance Sheet'!F22:F24)</f>
        <v>749</v>
      </c>
      <c r="G69" s="8"/>
      <c r="H69" s="73">
        <f>SUM('Current Balance Sheet'!H22:H24)</f>
        <v>669</v>
      </c>
      <c r="I69" s="93"/>
      <c r="J69" s="73"/>
      <c r="K69" s="93"/>
      <c r="L69" s="73">
        <f t="shared" si="14"/>
        <v>669</v>
      </c>
      <c r="M69" s="93"/>
      <c r="O69" s="11"/>
    </row>
    <row r="71" spans="2:17" ht="12.75">
      <c r="B71" s="96" t="s">
        <v>68</v>
      </c>
      <c r="F71" s="97">
        <f>F63+F65+SUM(F67:F69)</f>
        <v>10265</v>
      </c>
      <c r="G71" s="96"/>
      <c r="H71" s="97">
        <f>H63+H65+SUM(H67:H69)</f>
        <v>9768</v>
      </c>
      <c r="I71" s="97"/>
      <c r="J71" s="97">
        <f>J63+J65+SUM(J67:J69)</f>
        <v>1375</v>
      </c>
      <c r="K71" s="97"/>
      <c r="L71" s="97">
        <f>L63+L65+SUM(L67:L69)</f>
        <v>11143</v>
      </c>
      <c r="M71" s="97"/>
      <c r="O71" s="11"/>
      <c r="Q71" s="11"/>
    </row>
    <row r="72" spans="15:16" ht="12.75">
      <c r="O72" s="11"/>
      <c r="P72" s="11"/>
    </row>
    <row r="73" spans="2:15" ht="12.75">
      <c r="B73" s="85" t="s">
        <v>69</v>
      </c>
      <c r="O73" s="11"/>
    </row>
    <row r="74" spans="2:13" ht="12.75">
      <c r="B74" s="1" t="s">
        <v>71</v>
      </c>
      <c r="F74" s="73">
        <f>'Current Balance Sheet'!F30</f>
        <v>1022</v>
      </c>
      <c r="G74" s="8"/>
      <c r="H74" s="73">
        <f>'Current Balance Sheet'!H30</f>
        <v>1023</v>
      </c>
      <c r="I74" s="93"/>
      <c r="J74" s="73"/>
      <c r="K74" s="93"/>
      <c r="L74" s="73">
        <f>SUM(H74,J74)</f>
        <v>1023</v>
      </c>
      <c r="M74" s="93"/>
    </row>
    <row r="75" spans="2:15" ht="12.75">
      <c r="B75" s="10" t="s">
        <v>72</v>
      </c>
      <c r="C75" s="10"/>
      <c r="D75" s="10"/>
      <c r="E75" s="10"/>
      <c r="F75" s="17">
        <f>'Current Balance Sheet'!F31+'Current Balance Sheet'!F32</f>
        <v>1185</v>
      </c>
      <c r="G75" s="10"/>
      <c r="H75" s="17">
        <f>'Current Balance Sheet'!H31+'Current Balance Sheet'!H32</f>
        <v>1126</v>
      </c>
      <c r="I75" s="94"/>
      <c r="J75" s="17"/>
      <c r="K75" s="94"/>
      <c r="L75" s="17">
        <f>SUM(H75,J75)</f>
        <v>1126</v>
      </c>
      <c r="M75" s="94"/>
      <c r="O75" s="11"/>
    </row>
    <row r="76" spans="2:13" ht="12.75">
      <c r="B76" s="1" t="s">
        <v>75</v>
      </c>
      <c r="F76" s="11">
        <f>SUM(F74:F75)</f>
        <v>2207</v>
      </c>
      <c r="H76" s="11">
        <f>SUM(H74:H75)</f>
        <v>2149</v>
      </c>
      <c r="I76" s="11"/>
      <c r="J76" s="11">
        <f>SUM(J74:J75)</f>
        <v>0</v>
      </c>
      <c r="K76" s="11"/>
      <c r="L76" s="11">
        <f>SUM(L74:L75)</f>
        <v>2149</v>
      </c>
      <c r="M76" s="11"/>
    </row>
    <row r="78" spans="2:13" ht="12.75">
      <c r="B78" s="1" t="str">
        <f>B11</f>
        <v>Assumed Debt</v>
      </c>
      <c r="F78" s="73">
        <f>'Current Balance Sheet'!F29+'Current Balance Sheet'!F33+'Current Balance Sheet'!F36</f>
        <v>3006</v>
      </c>
      <c r="G78" s="8"/>
      <c r="H78" s="73">
        <f>'Current Balance Sheet'!H29+'Current Balance Sheet'!H33+'Current Balance Sheet'!H36</f>
        <v>2312</v>
      </c>
      <c r="I78" s="93"/>
      <c r="J78" s="73"/>
      <c r="K78" s="93"/>
      <c r="L78" s="73">
        <f aca="true" t="shared" si="15" ref="L78:L86">SUM(H78,J78)</f>
        <v>2312</v>
      </c>
      <c r="M78" s="93"/>
    </row>
    <row r="79" spans="2:13" ht="12.75">
      <c r="B79" s="1" t="str">
        <f>H6</f>
        <v>Senior Secured Credit Facility</v>
      </c>
      <c r="F79" s="93">
        <v>0</v>
      </c>
      <c r="G79" s="8"/>
      <c r="H79" s="93">
        <v>0</v>
      </c>
      <c r="I79" s="93"/>
      <c r="J79" s="73">
        <f>K6</f>
        <v>700</v>
      </c>
      <c r="K79" s="93"/>
      <c r="L79" s="73">
        <f t="shared" si="15"/>
        <v>700</v>
      </c>
      <c r="M79" s="93"/>
    </row>
    <row r="80" spans="2:13" ht="12.75">
      <c r="B80" s="1" t="str">
        <f>H7</f>
        <v>Unsecured Bridge Loan</v>
      </c>
      <c r="F80" s="93">
        <v>0</v>
      </c>
      <c r="G80" s="8"/>
      <c r="H80" s="93">
        <v>0</v>
      </c>
      <c r="I80" s="93"/>
      <c r="J80" s="73">
        <f>K7</f>
        <v>1900</v>
      </c>
      <c r="K80" s="93"/>
      <c r="L80" s="73">
        <f t="shared" si="15"/>
        <v>1900</v>
      </c>
      <c r="M80" s="93"/>
    </row>
    <row r="81" spans="2:13" ht="12.75">
      <c r="B81" s="1" t="str">
        <f>H8</f>
        <v>Secured European Bridge Loan</v>
      </c>
      <c r="F81" s="93">
        <v>0</v>
      </c>
      <c r="G81" s="8"/>
      <c r="H81" s="93">
        <v>0</v>
      </c>
      <c r="I81" s="93"/>
      <c r="J81" s="73">
        <f>K8</f>
        <v>1000</v>
      </c>
      <c r="K81" s="93"/>
      <c r="L81" s="73">
        <f t="shared" si="15"/>
        <v>1000</v>
      </c>
      <c r="M81" s="93"/>
    </row>
    <row r="82" spans="2:13" ht="12.75">
      <c r="B82" s="1" t="str">
        <f>H9</f>
        <v>Mortgage Loan Agreements</v>
      </c>
      <c r="F82" s="209">
        <v>0</v>
      </c>
      <c r="G82" s="210"/>
      <c r="H82" s="209">
        <v>0</v>
      </c>
      <c r="I82" s="209"/>
      <c r="J82" s="211">
        <f>K9</f>
        <v>800</v>
      </c>
      <c r="K82" s="209"/>
      <c r="L82" s="211">
        <f t="shared" si="15"/>
        <v>800</v>
      </c>
      <c r="M82" s="93"/>
    </row>
    <row r="83" spans="2:13" ht="12.75">
      <c r="B83" s="1" t="s">
        <v>178</v>
      </c>
      <c r="F83" s="73">
        <f>SUM(F78:F82)</f>
        <v>3006</v>
      </c>
      <c r="G83" s="8"/>
      <c r="H83" s="73">
        <f>SUM(H78:H82)</f>
        <v>2312</v>
      </c>
      <c r="I83" s="73"/>
      <c r="J83" s="73">
        <f>SUM(J78:J82)</f>
        <v>4400</v>
      </c>
      <c r="K83" s="73"/>
      <c r="L83" s="73">
        <f>SUM(L78:L82)</f>
        <v>6712</v>
      </c>
      <c r="M83" s="93"/>
    </row>
    <row r="84" spans="6:13" ht="12.75">
      <c r="F84" s="93"/>
      <c r="G84" s="8"/>
      <c r="H84" s="93"/>
      <c r="I84" s="93"/>
      <c r="J84" s="73"/>
      <c r="K84" s="93"/>
      <c r="L84" s="73"/>
      <c r="M84" s="93"/>
    </row>
    <row r="85" spans="2:13" ht="12.75">
      <c r="B85" s="1" t="s">
        <v>77</v>
      </c>
      <c r="F85" s="73">
        <f>'Current Balance Sheet'!F37</f>
        <v>538</v>
      </c>
      <c r="G85" s="8"/>
      <c r="H85" s="73">
        <f>'Current Balance Sheet'!H37</f>
        <v>485</v>
      </c>
      <c r="I85" s="93"/>
      <c r="J85" s="73"/>
      <c r="K85" s="93"/>
      <c r="L85" s="73">
        <f t="shared" si="15"/>
        <v>485</v>
      </c>
      <c r="M85" s="93"/>
    </row>
    <row r="86" spans="2:13" ht="12.75">
      <c r="B86" s="1" t="s">
        <v>80</v>
      </c>
      <c r="F86" s="73">
        <f>SUM('Current Balance Sheet'!F38:F41)</f>
        <v>540</v>
      </c>
      <c r="G86" s="8"/>
      <c r="H86" s="73">
        <f>SUM('Current Balance Sheet'!H38:H41)</f>
        <v>497</v>
      </c>
      <c r="I86" s="93"/>
      <c r="J86" s="73"/>
      <c r="K86" s="93"/>
      <c r="L86" s="73">
        <f t="shared" si="15"/>
        <v>497</v>
      </c>
      <c r="M86" s="93"/>
    </row>
    <row r="88" spans="2:13" ht="12.75">
      <c r="B88" s="96" t="s">
        <v>82</v>
      </c>
      <c r="F88" s="97">
        <f>F76+F83+F85+F86</f>
        <v>6291</v>
      </c>
      <c r="G88" s="96"/>
      <c r="H88" s="97">
        <f>H76+H83+H85+H86</f>
        <v>5443</v>
      </c>
      <c r="I88" s="97"/>
      <c r="J88" s="97">
        <f>J76+J83+J85+J86</f>
        <v>4400</v>
      </c>
      <c r="K88" s="97"/>
      <c r="L88" s="97">
        <f>L76+L83+L85+L86</f>
        <v>9843</v>
      </c>
      <c r="M88" s="97"/>
    </row>
    <row r="90" spans="2:12" ht="13.5">
      <c r="B90" s="2" t="s">
        <v>83</v>
      </c>
      <c r="F90" s="91"/>
      <c r="G90" s="92"/>
      <c r="H90" s="91"/>
      <c r="J90" s="92"/>
      <c r="L90" s="92"/>
    </row>
    <row r="91" spans="2:12" ht="12.75">
      <c r="B91" s="1" t="s">
        <v>129</v>
      </c>
      <c r="F91" s="91">
        <v>0</v>
      </c>
      <c r="G91" s="92"/>
      <c r="H91" s="91">
        <v>0</v>
      </c>
      <c r="J91" s="92"/>
      <c r="L91" s="92">
        <f>SUM(H91,J91)</f>
        <v>0</v>
      </c>
    </row>
    <row r="92" spans="2:13" ht="12.75">
      <c r="B92" s="1" t="str">
        <f>H10</f>
        <v>Sponsor Equity</v>
      </c>
      <c r="F92" s="93">
        <v>0</v>
      </c>
      <c r="G92" s="8"/>
      <c r="H92" s="93">
        <v>0</v>
      </c>
      <c r="I92" s="91"/>
      <c r="J92" s="73">
        <f>K10</f>
        <v>1300</v>
      </c>
      <c r="K92" s="91"/>
      <c r="L92" s="73">
        <f>SUM(H92,J92)</f>
        <v>1300</v>
      </c>
      <c r="M92" s="91"/>
    </row>
    <row r="93" spans="2:13" ht="12.75">
      <c r="B93" s="10" t="s">
        <v>86</v>
      </c>
      <c r="C93" s="10"/>
      <c r="D93" s="10"/>
      <c r="E93" s="10"/>
      <c r="F93" s="17">
        <f>'Current Balance Sheet'!F52</f>
        <v>3974</v>
      </c>
      <c r="G93" s="17"/>
      <c r="H93" s="17">
        <f>'Current Balance Sheet'!H52</f>
        <v>4325</v>
      </c>
      <c r="I93" s="94"/>
      <c r="J93" s="17">
        <f>-H93</f>
        <v>-4325</v>
      </c>
      <c r="K93" s="94"/>
      <c r="L93" s="17">
        <f>SUM(H93,J93)</f>
        <v>0</v>
      </c>
      <c r="M93" s="94"/>
    </row>
    <row r="94" spans="2:13" ht="12.75">
      <c r="B94" s="1" t="s">
        <v>90</v>
      </c>
      <c r="F94" s="11">
        <f>SUM(F91:F93)</f>
        <v>3974</v>
      </c>
      <c r="H94" s="11">
        <f>SUM(H91:H93)</f>
        <v>4325</v>
      </c>
      <c r="I94" s="11"/>
      <c r="J94" s="11">
        <f>SUM(J91:J93)</f>
        <v>-3025</v>
      </c>
      <c r="K94" s="11"/>
      <c r="L94" s="11">
        <f>SUM(L91:L93)</f>
        <v>1300</v>
      </c>
      <c r="M94" s="11"/>
    </row>
    <row r="96" spans="2:13" ht="13.5" thickBot="1">
      <c r="B96" s="98" t="s">
        <v>91</v>
      </c>
      <c r="C96" s="4"/>
      <c r="D96" s="4"/>
      <c r="E96" s="4"/>
      <c r="F96" s="99">
        <f>F88+F94</f>
        <v>10265</v>
      </c>
      <c r="G96" s="98"/>
      <c r="H96" s="99">
        <f>H88+H94</f>
        <v>9768</v>
      </c>
      <c r="I96" s="99"/>
      <c r="J96" s="99">
        <f>J88+J94</f>
        <v>1375</v>
      </c>
      <c r="K96" s="99"/>
      <c r="L96" s="99">
        <f>L88+L94</f>
        <v>11143</v>
      </c>
      <c r="M96" s="99"/>
    </row>
    <row r="97" spans="2:13" ht="12.75">
      <c r="B97" s="198" t="s">
        <v>301</v>
      </c>
      <c r="C97" s="8"/>
      <c r="D97" s="8"/>
      <c r="E97" s="8"/>
      <c r="F97" s="197"/>
      <c r="G97" s="137"/>
      <c r="H97" s="197"/>
      <c r="I97" s="197"/>
      <c r="J97" s="197"/>
      <c r="K97" s="197"/>
      <c r="L97" s="197"/>
      <c r="M97" s="197"/>
    </row>
    <row r="98" spans="2:13" ht="12.75">
      <c r="B98" s="156" t="s">
        <v>130</v>
      </c>
      <c r="C98" s="156"/>
      <c r="D98" s="156"/>
      <c r="E98" s="156"/>
      <c r="F98" s="159" t="b">
        <f>F71=F96</f>
        <v>1</v>
      </c>
      <c r="G98" s="159"/>
      <c r="H98" s="159" t="b">
        <f>H71=H96</f>
        <v>1</v>
      </c>
      <c r="I98" s="160"/>
      <c r="J98" s="159" t="b">
        <f>J71=J96</f>
        <v>1</v>
      </c>
      <c r="K98" s="160"/>
      <c r="L98" s="159" t="b">
        <f>L71=L96</f>
        <v>1</v>
      </c>
      <c r="M98" s="197"/>
    </row>
    <row r="99" spans="2:13" ht="12.75">
      <c r="B99" s="156" t="s">
        <v>130</v>
      </c>
      <c r="C99" s="156"/>
      <c r="D99" s="156"/>
      <c r="E99" s="156"/>
      <c r="F99" s="159" t="b">
        <f>'Current Balance Sheet'!F54='LBO Model'!F96</f>
        <v>1</v>
      </c>
      <c r="G99" s="159"/>
      <c r="H99" s="159" t="b">
        <f>'Current Balance Sheet'!H54='LBO Model'!H96</f>
        <v>1</v>
      </c>
      <c r="I99" s="160"/>
      <c r="J99" s="160"/>
      <c r="K99" s="160"/>
      <c r="L99" s="160"/>
      <c r="M99" s="197"/>
    </row>
    <row r="100" spans="2:13" ht="13.5" thickBot="1">
      <c r="B100" s="98" t="s">
        <v>202</v>
      </c>
      <c r="C100" s="4"/>
      <c r="D100" s="4"/>
      <c r="E100" s="4"/>
      <c r="F100" s="197"/>
      <c r="G100" s="137"/>
      <c r="H100" s="197"/>
      <c r="I100" s="197"/>
      <c r="J100" s="197"/>
      <c r="K100" s="197"/>
      <c r="L100" s="197"/>
      <c r="M100" s="197"/>
    </row>
    <row r="101" spans="2:13" ht="12.75">
      <c r="B101" s="1" t="s">
        <v>201</v>
      </c>
      <c r="E101" s="11">
        <f>F8+F10+F14</f>
        <v>6656</v>
      </c>
      <c r="F101" s="197"/>
      <c r="G101" s="137"/>
      <c r="H101" s="197"/>
      <c r="I101" s="197"/>
      <c r="J101" s="197"/>
      <c r="K101" s="197"/>
      <c r="L101" s="197"/>
      <c r="M101" s="197"/>
    </row>
    <row r="102" spans="2:13" ht="12.75">
      <c r="B102" s="1" t="s">
        <v>200</v>
      </c>
      <c r="E102" s="212">
        <f>H93-H67</f>
        <v>3972</v>
      </c>
      <c r="F102" s="197"/>
      <c r="G102" s="137"/>
      <c r="H102" s="197"/>
      <c r="I102" s="197"/>
      <c r="J102" s="197"/>
      <c r="K102" s="197"/>
      <c r="L102" s="197"/>
      <c r="M102" s="197"/>
    </row>
    <row r="103" spans="2:13" ht="13.5" thickBot="1">
      <c r="B103" s="4" t="s">
        <v>128</v>
      </c>
      <c r="C103" s="4"/>
      <c r="D103" s="4"/>
      <c r="E103" s="57">
        <f>E101-E102</f>
        <v>2684</v>
      </c>
      <c r="F103" s="197"/>
      <c r="G103" s="137"/>
      <c r="H103" s="197"/>
      <c r="I103" s="197"/>
      <c r="J103" s="197"/>
      <c r="K103" s="197"/>
      <c r="L103" s="197"/>
      <c r="M103" s="197"/>
    </row>
    <row r="104" spans="2:13" ht="12.75">
      <c r="B104" s="137"/>
      <c r="C104" s="8"/>
      <c r="D104" s="8"/>
      <c r="E104" s="8"/>
      <c r="F104" s="197"/>
      <c r="G104" s="137"/>
      <c r="H104" s="197"/>
      <c r="I104" s="197"/>
      <c r="J104" s="197"/>
      <c r="K104" s="197"/>
      <c r="L104" s="197"/>
      <c r="M104" s="197"/>
    </row>
    <row r="105" spans="1:18" ht="15.75">
      <c r="A105" s="76" t="s">
        <v>203</v>
      </c>
      <c r="B105" s="190" t="s">
        <v>204</v>
      </c>
      <c r="C105" s="190"/>
      <c r="D105" s="190"/>
      <c r="E105" s="190"/>
      <c r="F105" s="190"/>
      <c r="G105" s="190"/>
      <c r="H105" s="190"/>
      <c r="I105" s="190"/>
      <c r="J105" s="190"/>
      <c r="K105" s="190"/>
      <c r="L105" s="190"/>
      <c r="M105" s="190"/>
      <c r="N105" s="190"/>
      <c r="O105" s="190"/>
      <c r="P105" s="190"/>
      <c r="Q105" s="190"/>
      <c r="R105" s="190"/>
    </row>
    <row r="106" ht="12.75">
      <c r="B106" s="231" t="str">
        <f>'Case Manager'!$K$5</f>
        <v>($ in millions)</v>
      </c>
    </row>
    <row r="108" spans="2:14" ht="13.5">
      <c r="B108" s="2" t="str">
        <f>'Case Manager'!$D$65</f>
        <v>Base Case</v>
      </c>
      <c r="N108" s="76"/>
    </row>
    <row r="109" spans="2:18" ht="14.25" thickBot="1">
      <c r="B109" s="3"/>
      <c r="C109" s="4"/>
      <c r="D109" s="4"/>
      <c r="E109" s="4"/>
      <c r="F109" s="4"/>
      <c r="G109" s="4"/>
      <c r="H109" s="4"/>
      <c r="I109" s="4"/>
      <c r="J109" s="4"/>
      <c r="K109" s="4"/>
      <c r="L109" s="4"/>
      <c r="M109" s="4"/>
      <c r="N109" s="4"/>
      <c r="O109" s="4"/>
      <c r="P109" s="4"/>
      <c r="Q109" s="4"/>
      <c r="R109" s="4"/>
    </row>
    <row r="110" spans="2:18" ht="13.5">
      <c r="B110" s="5" t="str">
        <f>'Case Manager'!$K$6</f>
        <v>For the FYE January 31</v>
      </c>
      <c r="F110" s="12" t="str">
        <f>'Summary of Consolidated Fins'!$F$7</f>
        <v>Actual</v>
      </c>
      <c r="G110" s="13"/>
      <c r="H110" s="14"/>
      <c r="I110" s="12" t="str">
        <f>'Summary of Consolidated Fins'!$I$7</f>
        <v>Projected</v>
      </c>
      <c r="J110" s="12"/>
      <c r="K110" s="12"/>
      <c r="L110" s="13"/>
      <c r="M110" s="6"/>
      <c r="N110" s="6"/>
      <c r="O110" s="6"/>
      <c r="P110" s="6"/>
      <c r="Q110" s="6"/>
      <c r="R110" s="6"/>
    </row>
    <row r="111" spans="2:18" ht="12.75">
      <c r="B111" s="7"/>
      <c r="C111" s="7"/>
      <c r="D111" s="7"/>
      <c r="E111" s="7"/>
      <c r="F111" s="15">
        <f>'Summary of Consolidated Fins'!$F$8</f>
        <v>2003</v>
      </c>
      <c r="G111" s="15">
        <f>'Summary of Consolidated Fins'!$G$8</f>
        <v>2004</v>
      </c>
      <c r="H111" s="16">
        <f>'Summary of Consolidated Fins'!$H$8</f>
        <v>2005</v>
      </c>
      <c r="I111" s="15">
        <f>'Summary of Consolidated Fins'!$I$8</f>
        <v>2006</v>
      </c>
      <c r="J111" s="15">
        <f>'Summary of Consolidated Fins'!$J$8</f>
        <v>2007</v>
      </c>
      <c r="K111" s="15">
        <f>'Summary of Consolidated Fins'!$K$8</f>
        <v>2008</v>
      </c>
      <c r="L111" s="15">
        <f>'Summary of Consolidated Fins'!$L$8</f>
        <v>2009</v>
      </c>
      <c r="M111" s="32">
        <f>'Summary of Consolidated Fins'!$M$8</f>
        <v>2010</v>
      </c>
      <c r="N111" s="32">
        <f>M111+1</f>
        <v>2011</v>
      </c>
      <c r="O111" s="32">
        <f>N111+1</f>
        <v>2012</v>
      </c>
      <c r="P111" s="32">
        <f>O111+1</f>
        <v>2013</v>
      </c>
      <c r="Q111" s="32">
        <f>P111+1</f>
        <v>2014</v>
      </c>
      <c r="R111" s="32">
        <f>Q111+1</f>
        <v>2015</v>
      </c>
    </row>
    <row r="112" spans="2:18" ht="12.75">
      <c r="B112" s="1" t="str">
        <f>'Summary of Consolidated Fins'!B9</f>
        <v>Consolidated Net Sales</v>
      </c>
      <c r="F112" s="140">
        <f>'Summary of Consolidated Fins'!F9</f>
        <v>11305</v>
      </c>
      <c r="G112" s="140">
        <f>'Summary of Consolidated Fins'!G9</f>
        <v>11320</v>
      </c>
      <c r="H112" s="226">
        <f>'Summary of Consolidated Fins'!H9</f>
        <v>11100</v>
      </c>
      <c r="I112" s="140">
        <f>'Summary of Consolidated Fins'!I9</f>
        <v>11054.125915080527</v>
      </c>
      <c r="J112" s="140">
        <f>'Summary of Consolidated Fins'!J9</f>
        <v>11054.125915080527</v>
      </c>
      <c r="K112" s="140">
        <f>'Summary of Consolidated Fins'!K9</f>
        <v>11054.125915080527</v>
      </c>
      <c r="L112" s="140">
        <f>'Summary of Consolidated Fins'!L9</f>
        <v>11054.125915080527</v>
      </c>
      <c r="M112" s="140">
        <f>'Summary of Consolidated Fins'!M9</f>
        <v>11054.125915080527</v>
      </c>
      <c r="N112" s="140">
        <f>M112*(1+N113)</f>
        <v>11054.125915080527</v>
      </c>
      <c r="O112" s="140">
        <f>N112*(1+O113)</f>
        <v>11054.125915080527</v>
      </c>
      <c r="P112" s="140">
        <f>O112*(1+P113)</f>
        <v>11054.125915080527</v>
      </c>
      <c r="Q112" s="140">
        <f>P112*(1+Q113)</f>
        <v>11054.125915080527</v>
      </c>
      <c r="R112" s="140">
        <f>Q112*(1+R113)</f>
        <v>11054.125915080527</v>
      </c>
    </row>
    <row r="113" spans="2:18" ht="12.75">
      <c r="B113" s="1" t="s">
        <v>5</v>
      </c>
      <c r="G113" s="9">
        <f>G112/F112-1</f>
        <v>0.0013268465280849018</v>
      </c>
      <c r="H113" s="27">
        <f aca="true" t="shared" si="16" ref="H113:M113">H112/G112-1</f>
        <v>-0.019434628975265045</v>
      </c>
      <c r="I113" s="9">
        <f t="shared" si="16"/>
        <v>-0.00413280044319575</v>
      </c>
      <c r="J113" s="9">
        <f t="shared" si="16"/>
        <v>0</v>
      </c>
      <c r="K113" s="9">
        <f t="shared" si="16"/>
        <v>0</v>
      </c>
      <c r="L113" s="9">
        <f t="shared" si="16"/>
        <v>0</v>
      </c>
      <c r="M113" s="9">
        <f t="shared" si="16"/>
        <v>0</v>
      </c>
      <c r="N113" s="223">
        <f>M113</f>
        <v>0</v>
      </c>
      <c r="O113" s="222">
        <f>N113</f>
        <v>0</v>
      </c>
      <c r="P113" s="222">
        <f>O113</f>
        <v>0</v>
      </c>
      <c r="Q113" s="222">
        <f>P113</f>
        <v>0</v>
      </c>
      <c r="R113" s="222">
        <f>Q113</f>
        <v>0</v>
      </c>
    </row>
    <row r="114" ht="12.75">
      <c r="H114" s="28"/>
    </row>
    <row r="115" spans="2:18" ht="12.75">
      <c r="B115" s="1" t="str">
        <f>'Summary of Consolidated Fins'!B12</f>
        <v>COGS &amp; SG&amp;A by Segment</v>
      </c>
      <c r="F115" s="140">
        <f>'Summary of Consolidated Fins'!F12</f>
        <v>10494</v>
      </c>
      <c r="G115" s="140">
        <f>'Summary of Consolidated Fins'!G12</f>
        <v>10649</v>
      </c>
      <c r="H115" s="207">
        <f>'Summary of Consolidated Fins'!H12</f>
        <v>10240</v>
      </c>
      <c r="I115" s="140">
        <f>'Summary of Consolidated Fins'!I12</f>
        <v>10175.068814055638</v>
      </c>
      <c r="J115" s="140">
        <f>'Summary of Consolidated Fins'!J12</f>
        <v>10175.068814055638</v>
      </c>
      <c r="K115" s="140">
        <f>'Summary of Consolidated Fins'!K12</f>
        <v>10175.068814055638</v>
      </c>
      <c r="L115" s="140">
        <f>'Summary of Consolidated Fins'!L12</f>
        <v>10175.068814055638</v>
      </c>
      <c r="M115" s="140">
        <f>'Summary of Consolidated Fins'!M12</f>
        <v>10175.068814055638</v>
      </c>
      <c r="N115" s="110">
        <f>N112*N116</f>
        <v>10175.068814055638</v>
      </c>
      <c r="O115" s="110">
        <f>O112*O116</f>
        <v>10175.068814055638</v>
      </c>
      <c r="P115" s="110">
        <f>P112*P116</f>
        <v>10175.068814055638</v>
      </c>
      <c r="Q115" s="110">
        <f>Q112*Q116</f>
        <v>10175.068814055638</v>
      </c>
      <c r="R115" s="110">
        <f>R112*R116</f>
        <v>10175.068814055638</v>
      </c>
    </row>
    <row r="116" spans="2:18" ht="12.75">
      <c r="B116" s="1" t="s">
        <v>8</v>
      </c>
      <c r="F116" s="9">
        <f>F115/F$112</f>
        <v>0.9282618310482088</v>
      </c>
      <c r="G116" s="9">
        <f aca="true" t="shared" si="17" ref="G116:M116">G115/G$112</f>
        <v>0.9407243816254417</v>
      </c>
      <c r="H116" s="27">
        <f t="shared" si="17"/>
        <v>0.9225225225225225</v>
      </c>
      <c r="I116" s="9">
        <f t="shared" si="17"/>
        <v>0.9204770139423109</v>
      </c>
      <c r="J116" s="9">
        <f t="shared" si="17"/>
        <v>0.9204770139423109</v>
      </c>
      <c r="K116" s="9">
        <f t="shared" si="17"/>
        <v>0.9204770139423109</v>
      </c>
      <c r="L116" s="9">
        <f t="shared" si="17"/>
        <v>0.9204770139423109</v>
      </c>
      <c r="M116" s="9">
        <f t="shared" si="17"/>
        <v>0.9204770139423109</v>
      </c>
      <c r="N116" s="223">
        <f>M116</f>
        <v>0.9204770139423109</v>
      </c>
      <c r="O116" s="222">
        <f>N116</f>
        <v>0.9204770139423109</v>
      </c>
      <c r="P116" s="222">
        <f>O116</f>
        <v>0.9204770139423109</v>
      </c>
      <c r="Q116" s="222">
        <f>P116</f>
        <v>0.9204770139423109</v>
      </c>
      <c r="R116" s="222">
        <f>Q116</f>
        <v>0.9204770139423109</v>
      </c>
    </row>
    <row r="117" ht="12.75">
      <c r="H117" s="28"/>
    </row>
    <row r="118" spans="2:18" ht="12.75">
      <c r="B118" s="1" t="str">
        <f>'Summary of Consolidated Fins'!B16</f>
        <v>EBITDA by Segment</v>
      </c>
      <c r="F118" s="140">
        <f>F112-F115</f>
        <v>811</v>
      </c>
      <c r="G118" s="140">
        <f aca="true" t="shared" si="18" ref="G118:R118">G112-G115</f>
        <v>671</v>
      </c>
      <c r="H118" s="207">
        <f t="shared" si="18"/>
        <v>860</v>
      </c>
      <c r="I118" s="140">
        <f t="shared" si="18"/>
        <v>879.0571010248896</v>
      </c>
      <c r="J118" s="140">
        <f t="shared" si="18"/>
        <v>879.0571010248896</v>
      </c>
      <c r="K118" s="140">
        <f t="shared" si="18"/>
        <v>879.0571010248896</v>
      </c>
      <c r="L118" s="140">
        <f t="shared" si="18"/>
        <v>879.0571010248896</v>
      </c>
      <c r="M118" s="140">
        <f t="shared" si="18"/>
        <v>879.0571010248896</v>
      </c>
      <c r="N118" s="140">
        <f t="shared" si="18"/>
        <v>879.0571010248896</v>
      </c>
      <c r="O118" s="140">
        <f t="shared" si="18"/>
        <v>879.0571010248896</v>
      </c>
      <c r="P118" s="140">
        <f t="shared" si="18"/>
        <v>879.0571010248896</v>
      </c>
      <c r="Q118" s="140">
        <f t="shared" si="18"/>
        <v>879.0571010248896</v>
      </c>
      <c r="R118" s="140">
        <f t="shared" si="18"/>
        <v>879.0571010248896</v>
      </c>
    </row>
    <row r="119" spans="2:18" ht="12.75">
      <c r="B119" s="1" t="s">
        <v>8</v>
      </c>
      <c r="F119" s="9">
        <f aca="true" t="shared" si="19" ref="F119:R119">F118/F$112</f>
        <v>0.07173816895179125</v>
      </c>
      <c r="G119" s="9">
        <f t="shared" si="19"/>
        <v>0.0592756183745583</v>
      </c>
      <c r="H119" s="27">
        <f t="shared" si="19"/>
        <v>0.07747747747747748</v>
      </c>
      <c r="I119" s="9">
        <f t="shared" si="19"/>
        <v>0.07952298605768919</v>
      </c>
      <c r="J119" s="9">
        <f t="shared" si="19"/>
        <v>0.07952298605768919</v>
      </c>
      <c r="K119" s="9">
        <f t="shared" si="19"/>
        <v>0.07952298605768919</v>
      </c>
      <c r="L119" s="9">
        <f t="shared" si="19"/>
        <v>0.07952298605768919</v>
      </c>
      <c r="M119" s="9">
        <f t="shared" si="19"/>
        <v>0.07952298605768919</v>
      </c>
      <c r="N119" s="9">
        <f t="shared" si="19"/>
        <v>0.07952298605768919</v>
      </c>
      <c r="O119" s="9">
        <f t="shared" si="19"/>
        <v>0.07952298605768919</v>
      </c>
      <c r="P119" s="9">
        <f t="shared" si="19"/>
        <v>0.07952298605768919</v>
      </c>
      <c r="Q119" s="9">
        <f t="shared" si="19"/>
        <v>0.07952298605768919</v>
      </c>
      <c r="R119" s="9">
        <f t="shared" si="19"/>
        <v>0.07952298605768919</v>
      </c>
    </row>
    <row r="120" ht="12.75">
      <c r="H120" s="28"/>
    </row>
    <row r="121" spans="2:18" s="8" customFormat="1" ht="12.75">
      <c r="B121" s="8" t="str">
        <f>'Summary of Consolidated Fins'!B20</f>
        <v>Corporate / Other Expenses</v>
      </c>
      <c r="F121" s="203">
        <f>'Summary of Consolidated Fins'!F20</f>
        <v>29</v>
      </c>
      <c r="G121" s="203">
        <f>'Summary of Consolidated Fins'!G20</f>
        <v>23</v>
      </c>
      <c r="H121" s="208">
        <f>'Summary of Consolidated Fins'!H20</f>
        <v>80</v>
      </c>
      <c r="I121" s="203">
        <f>'Summary of Consolidated Fins'!I20</f>
        <v>79.66937596454434</v>
      </c>
      <c r="J121" s="203">
        <f>'Summary of Consolidated Fins'!J20</f>
        <v>79.66937596454434</v>
      </c>
      <c r="K121" s="203">
        <f>'Summary of Consolidated Fins'!K20</f>
        <v>79.66937596454434</v>
      </c>
      <c r="L121" s="203">
        <f>'Summary of Consolidated Fins'!L20</f>
        <v>79.66937596454434</v>
      </c>
      <c r="M121" s="203">
        <f>'Summary of Consolidated Fins'!M20</f>
        <v>79.66937596454434</v>
      </c>
      <c r="N121" s="203">
        <f>N122*N112</f>
        <v>79.66937596454434</v>
      </c>
      <c r="O121" s="203">
        <f>O122*O112</f>
        <v>79.66937596454434</v>
      </c>
      <c r="P121" s="203">
        <f>P122*P112</f>
        <v>79.66937596454434</v>
      </c>
      <c r="Q121" s="203">
        <f>Q122*Q112</f>
        <v>79.66937596454434</v>
      </c>
      <c r="R121" s="203">
        <f>R122*R112</f>
        <v>79.66937596454434</v>
      </c>
    </row>
    <row r="122" spans="2:18" ht="12.75">
      <c r="B122" s="1" t="s">
        <v>8</v>
      </c>
      <c r="C122" s="8"/>
      <c r="D122" s="8"/>
      <c r="E122" s="8"/>
      <c r="F122" s="9">
        <f aca="true" t="shared" si="20" ref="F122:M122">F121/F$112</f>
        <v>0.0025652366209641753</v>
      </c>
      <c r="G122" s="9">
        <f t="shared" si="20"/>
        <v>0.0020318021201413427</v>
      </c>
      <c r="H122" s="27">
        <f t="shared" si="20"/>
        <v>0.007207207207207207</v>
      </c>
      <c r="I122" s="9">
        <f t="shared" si="20"/>
        <v>0.007207207207207207</v>
      </c>
      <c r="J122" s="9">
        <f t="shared" si="20"/>
        <v>0.007207207207207207</v>
      </c>
      <c r="K122" s="9">
        <f t="shared" si="20"/>
        <v>0.007207207207207207</v>
      </c>
      <c r="L122" s="9">
        <f t="shared" si="20"/>
        <v>0.007207207207207207</v>
      </c>
      <c r="M122" s="9">
        <f t="shared" si="20"/>
        <v>0.007207207207207207</v>
      </c>
      <c r="N122" s="223">
        <f>M122</f>
        <v>0.007207207207207207</v>
      </c>
      <c r="O122" s="222">
        <f>N122</f>
        <v>0.007207207207207207</v>
      </c>
      <c r="P122" s="222">
        <f>O122</f>
        <v>0.007207207207207207</v>
      </c>
      <c r="Q122" s="222">
        <f>P122</f>
        <v>0.007207207207207207</v>
      </c>
      <c r="R122" s="222">
        <f>Q122</f>
        <v>0.007207207207207207</v>
      </c>
    </row>
    <row r="123" spans="3:18" ht="12.75">
      <c r="C123" s="8"/>
      <c r="D123" s="8"/>
      <c r="E123" s="8"/>
      <c r="F123" s="203"/>
      <c r="G123" s="203"/>
      <c r="H123" s="208"/>
      <c r="I123" s="203"/>
      <c r="J123" s="203"/>
      <c r="K123" s="203"/>
      <c r="L123" s="203"/>
      <c r="M123" s="203"/>
      <c r="N123" s="203"/>
      <c r="O123" s="8"/>
      <c r="P123" s="8"/>
      <c r="Q123" s="8"/>
      <c r="R123" s="8"/>
    </row>
    <row r="124" spans="2:18" ht="12.75">
      <c r="B124" s="1" t="str">
        <f>'Summary of Consolidated Fins'!B21</f>
        <v>Consolidated EBITDA</v>
      </c>
      <c r="F124" s="140">
        <f>F118-F121</f>
        <v>782</v>
      </c>
      <c r="G124" s="140">
        <f aca="true" t="shared" si="21" ref="G124:M124">G118-G121</f>
        <v>648</v>
      </c>
      <c r="H124" s="207">
        <f t="shared" si="21"/>
        <v>780</v>
      </c>
      <c r="I124" s="140">
        <f t="shared" si="21"/>
        <v>799.3877250603452</v>
      </c>
      <c r="J124" s="140">
        <f t="shared" si="21"/>
        <v>799.3877250603452</v>
      </c>
      <c r="K124" s="140">
        <f t="shared" si="21"/>
        <v>799.3877250603452</v>
      </c>
      <c r="L124" s="140">
        <f t="shared" si="21"/>
        <v>799.3877250603452</v>
      </c>
      <c r="M124" s="140">
        <f t="shared" si="21"/>
        <v>799.3877250603452</v>
      </c>
      <c r="N124" s="140">
        <f>N118-N121</f>
        <v>799.3877250603452</v>
      </c>
      <c r="O124" s="140">
        <f>O118-O121</f>
        <v>799.3877250603452</v>
      </c>
      <c r="P124" s="140">
        <f>P118-P121</f>
        <v>799.3877250603452</v>
      </c>
      <c r="Q124" s="140">
        <f>Q118-Q121</f>
        <v>799.3877250603452</v>
      </c>
      <c r="R124" s="140">
        <f>R118-R121</f>
        <v>799.3877250603452</v>
      </c>
    </row>
    <row r="125" spans="2:18" ht="12.75">
      <c r="B125" s="1" t="s">
        <v>5</v>
      </c>
      <c r="G125" s="9">
        <f>G124/F124-1</f>
        <v>-0.17135549872122757</v>
      </c>
      <c r="H125" s="27">
        <f aca="true" t="shared" si="22" ref="H125:R125">H124/G124-1</f>
        <v>0.20370370370370372</v>
      </c>
      <c r="I125" s="9">
        <f t="shared" si="22"/>
        <v>0.02485605776967348</v>
      </c>
      <c r="J125" s="9">
        <f t="shared" si="22"/>
        <v>0</v>
      </c>
      <c r="K125" s="9">
        <f t="shared" si="22"/>
        <v>0</v>
      </c>
      <c r="L125" s="9">
        <f t="shared" si="22"/>
        <v>0</v>
      </c>
      <c r="M125" s="9">
        <f t="shared" si="22"/>
        <v>0</v>
      </c>
      <c r="N125" s="9">
        <f t="shared" si="22"/>
        <v>0</v>
      </c>
      <c r="O125" s="9">
        <f t="shared" si="22"/>
        <v>0</v>
      </c>
      <c r="P125" s="9">
        <f t="shared" si="22"/>
        <v>0</v>
      </c>
      <c r="Q125" s="9">
        <f t="shared" si="22"/>
        <v>0</v>
      </c>
      <c r="R125" s="9">
        <f t="shared" si="22"/>
        <v>0</v>
      </c>
    </row>
    <row r="126" spans="2:18" ht="12.75">
      <c r="B126" s="1" t="s">
        <v>8</v>
      </c>
      <c r="F126" s="9">
        <f>F124/F$112</f>
        <v>0.06917293233082707</v>
      </c>
      <c r="G126" s="9">
        <f>G124/G$112</f>
        <v>0.05724381625441696</v>
      </c>
      <c r="H126" s="27">
        <f aca="true" t="shared" si="23" ref="H126:R126">H124/H$112</f>
        <v>0.07027027027027027</v>
      </c>
      <c r="I126" s="9">
        <f t="shared" si="23"/>
        <v>0.07231577885048199</v>
      </c>
      <c r="J126" s="9">
        <f t="shared" si="23"/>
        <v>0.07231577885048199</v>
      </c>
      <c r="K126" s="9">
        <f t="shared" si="23"/>
        <v>0.07231577885048199</v>
      </c>
      <c r="L126" s="9">
        <f t="shared" si="23"/>
        <v>0.07231577885048199</v>
      </c>
      <c r="M126" s="9">
        <f t="shared" si="23"/>
        <v>0.07231577885048199</v>
      </c>
      <c r="N126" s="9">
        <f t="shared" si="23"/>
        <v>0.07231577885048199</v>
      </c>
      <c r="O126" s="9">
        <f t="shared" si="23"/>
        <v>0.07231577885048199</v>
      </c>
      <c r="P126" s="9">
        <f t="shared" si="23"/>
        <v>0.07231577885048199</v>
      </c>
      <c r="Q126" s="9">
        <f t="shared" si="23"/>
        <v>0.07231577885048199</v>
      </c>
      <c r="R126" s="9">
        <f t="shared" si="23"/>
        <v>0.07231577885048199</v>
      </c>
    </row>
    <row r="127" ht="12.75">
      <c r="H127" s="28"/>
    </row>
    <row r="128" spans="2:18" ht="12.75">
      <c r="B128" s="1" t="str">
        <f>'Summary of Consolidated Fins'!B25</f>
        <v>D&amp;A by Segment</v>
      </c>
      <c r="F128" s="141">
        <f>'Summary of Consolidated Fins'!F25</f>
        <v>293</v>
      </c>
      <c r="G128" s="141">
        <f>'Summary of Consolidated Fins'!G25</f>
        <v>328</v>
      </c>
      <c r="H128" s="208">
        <f>'Summary of Consolidated Fins'!H25</f>
        <v>318</v>
      </c>
      <c r="I128" s="141">
        <f>'Summary of Consolidated Fins'!I25</f>
        <v>312.41434846266475</v>
      </c>
      <c r="J128" s="141">
        <f>'Summary of Consolidated Fins'!J25</f>
        <v>312.41434846266475</v>
      </c>
      <c r="K128" s="141">
        <f>'Summary of Consolidated Fins'!K25</f>
        <v>312.41434846266475</v>
      </c>
      <c r="L128" s="141">
        <f>'Summary of Consolidated Fins'!L25</f>
        <v>312.41434846266475</v>
      </c>
      <c r="M128" s="141">
        <f>'Summary of Consolidated Fins'!M25</f>
        <v>312.41434846266475</v>
      </c>
      <c r="N128" s="141">
        <f>N129*N112</f>
        <v>312.41434846266475</v>
      </c>
      <c r="O128" s="141">
        <f>O129*O112</f>
        <v>312.41434846266475</v>
      </c>
      <c r="P128" s="141">
        <f>P129*P112</f>
        <v>312.41434846266475</v>
      </c>
      <c r="Q128" s="141">
        <f>Q129*Q112</f>
        <v>312.41434846266475</v>
      </c>
      <c r="R128" s="141">
        <f>R129*R112</f>
        <v>312.41434846266475</v>
      </c>
    </row>
    <row r="129" spans="2:18" ht="12.75">
      <c r="B129" s="1" t="s">
        <v>8</v>
      </c>
      <c r="F129" s="9">
        <f>F128/F$112</f>
        <v>0.025917735515258736</v>
      </c>
      <c r="G129" s="9">
        <f aca="true" t="shared" si="24" ref="G129:M129">G128/G$112</f>
        <v>0.028975265017667843</v>
      </c>
      <c r="H129" s="27">
        <f t="shared" si="24"/>
        <v>0.028648648648648647</v>
      </c>
      <c r="I129" s="9">
        <f t="shared" si="24"/>
        <v>0.02826223899227123</v>
      </c>
      <c r="J129" s="9">
        <f t="shared" si="24"/>
        <v>0.02826223899227123</v>
      </c>
      <c r="K129" s="9">
        <f t="shared" si="24"/>
        <v>0.02826223899227123</v>
      </c>
      <c r="L129" s="9">
        <f t="shared" si="24"/>
        <v>0.02826223899227123</v>
      </c>
      <c r="M129" s="9">
        <f t="shared" si="24"/>
        <v>0.02826223899227123</v>
      </c>
      <c r="N129" s="223">
        <f>M129</f>
        <v>0.02826223899227123</v>
      </c>
      <c r="O129" s="222">
        <f>N129</f>
        <v>0.02826223899227123</v>
      </c>
      <c r="P129" s="222">
        <f>O129</f>
        <v>0.02826223899227123</v>
      </c>
      <c r="Q129" s="222">
        <f>P129</f>
        <v>0.02826223899227123</v>
      </c>
      <c r="R129" s="222">
        <f>Q129</f>
        <v>0.02826223899227123</v>
      </c>
    </row>
    <row r="130" spans="6:13" ht="12.75">
      <c r="F130" s="141"/>
      <c r="G130" s="141"/>
      <c r="H130" s="208"/>
      <c r="I130" s="141"/>
      <c r="J130" s="141"/>
      <c r="K130" s="141"/>
      <c r="L130" s="141"/>
      <c r="M130" s="141"/>
    </row>
    <row r="131" spans="2:18" ht="12.75">
      <c r="B131" s="1" t="str">
        <f>'Summary of Consolidated Fins'!B26</f>
        <v>Other D&amp;A</v>
      </c>
      <c r="F131" s="141">
        <f>'Summary of Consolidated Fins'!F26</f>
        <v>46</v>
      </c>
      <c r="G131" s="141">
        <f>'Summary of Consolidated Fins'!G26</f>
        <v>40</v>
      </c>
      <c r="H131" s="208">
        <f>'Summary of Consolidated Fins'!H26</f>
        <v>36</v>
      </c>
      <c r="I131" s="141">
        <f>'Summary of Consolidated Fins'!I26</f>
        <v>35.85121918404495</v>
      </c>
      <c r="J131" s="141">
        <f>'Summary of Consolidated Fins'!J26</f>
        <v>35.85121918404495</v>
      </c>
      <c r="K131" s="141">
        <f>'Summary of Consolidated Fins'!K26</f>
        <v>35.85121918404495</v>
      </c>
      <c r="L131" s="141">
        <f>'Summary of Consolidated Fins'!L26</f>
        <v>35.85121918404495</v>
      </c>
      <c r="M131" s="141">
        <f>'Summary of Consolidated Fins'!M26</f>
        <v>35.85121918404495</v>
      </c>
      <c r="N131" s="141">
        <f>N132*N112</f>
        <v>35.85121918404495</v>
      </c>
      <c r="O131" s="141">
        <f>O132*O112</f>
        <v>35.85121918404495</v>
      </c>
      <c r="P131" s="141">
        <f>P132*P112</f>
        <v>35.85121918404495</v>
      </c>
      <c r="Q131" s="141">
        <f>Q132*Q112</f>
        <v>35.85121918404495</v>
      </c>
      <c r="R131" s="141">
        <f>R132*R112</f>
        <v>35.85121918404495</v>
      </c>
    </row>
    <row r="132" spans="2:18" ht="12.75">
      <c r="B132" s="1" t="s">
        <v>8</v>
      </c>
      <c r="F132" s="9">
        <f aca="true" t="shared" si="25" ref="F132:M132">F131/F$112</f>
        <v>0.004068996019460416</v>
      </c>
      <c r="G132" s="9">
        <f t="shared" si="25"/>
        <v>0.0035335689045936395</v>
      </c>
      <c r="H132" s="27">
        <f t="shared" si="25"/>
        <v>0.003243243243243243</v>
      </c>
      <c r="I132" s="9">
        <f t="shared" si="25"/>
        <v>0.003243243243243243</v>
      </c>
      <c r="J132" s="9">
        <f t="shared" si="25"/>
        <v>0.003243243243243243</v>
      </c>
      <c r="K132" s="9">
        <f t="shared" si="25"/>
        <v>0.003243243243243243</v>
      </c>
      <c r="L132" s="9">
        <f t="shared" si="25"/>
        <v>0.003243243243243243</v>
      </c>
      <c r="M132" s="9">
        <f t="shared" si="25"/>
        <v>0.003243243243243243</v>
      </c>
      <c r="N132" s="223">
        <f>M132</f>
        <v>0.003243243243243243</v>
      </c>
      <c r="O132" s="222">
        <f>N132</f>
        <v>0.003243243243243243</v>
      </c>
      <c r="P132" s="222">
        <f>O132</f>
        <v>0.003243243243243243</v>
      </c>
      <c r="Q132" s="222">
        <f>P132</f>
        <v>0.003243243243243243</v>
      </c>
      <c r="R132" s="222">
        <f>Q132</f>
        <v>0.003243243243243243</v>
      </c>
    </row>
    <row r="133" spans="6:13" ht="12.75">
      <c r="F133" s="141"/>
      <c r="G133" s="141"/>
      <c r="H133" s="208"/>
      <c r="I133" s="141"/>
      <c r="J133" s="141"/>
      <c r="K133" s="141"/>
      <c r="L133" s="141"/>
      <c r="M133" s="141"/>
    </row>
    <row r="134" spans="2:18" ht="12.75">
      <c r="B134" s="10" t="str">
        <f>'Summary of Consolidated Fins'!B27</f>
        <v>Restructuring Charges</v>
      </c>
      <c r="C134" s="10"/>
      <c r="D134" s="10"/>
      <c r="E134" s="10"/>
      <c r="F134" s="143">
        <f>'Summary of Consolidated Fins'!F27</f>
        <v>0</v>
      </c>
      <c r="G134" s="143">
        <f>'Summary of Consolidated Fins'!G27</f>
        <v>63</v>
      </c>
      <c r="H134" s="227">
        <f>'Summary of Consolidated Fins'!H27</f>
        <v>4</v>
      </c>
      <c r="I134" s="143">
        <f>'Summary of Consolidated Fins'!I27</f>
        <v>0</v>
      </c>
      <c r="J134" s="143">
        <f>'Summary of Consolidated Fins'!J27</f>
        <v>0</v>
      </c>
      <c r="K134" s="143">
        <f>'Summary of Consolidated Fins'!K27</f>
        <v>0</v>
      </c>
      <c r="L134" s="143">
        <f>'Summary of Consolidated Fins'!L27</f>
        <v>0</v>
      </c>
      <c r="M134" s="143">
        <f>'Summary of Consolidated Fins'!M27</f>
        <v>0</v>
      </c>
      <c r="N134" s="224">
        <f>M134</f>
        <v>0</v>
      </c>
      <c r="O134" s="143">
        <f>N134</f>
        <v>0</v>
      </c>
      <c r="P134" s="143">
        <f>O134</f>
        <v>0</v>
      </c>
      <c r="Q134" s="143">
        <f>P134</f>
        <v>0</v>
      </c>
      <c r="R134" s="143">
        <f>Q134</f>
        <v>0</v>
      </c>
    </row>
    <row r="135" spans="2:18" ht="12.75">
      <c r="B135" s="1" t="str">
        <f>'Summary of Consolidated Fins'!B28</f>
        <v>Consolidated EBIT</v>
      </c>
      <c r="F135" s="140">
        <f>F124-F128-F131-F134</f>
        <v>443</v>
      </c>
      <c r="G135" s="140">
        <f aca="true" t="shared" si="26" ref="G135:R135">G124-G128-G131-G134</f>
        <v>217</v>
      </c>
      <c r="H135" s="207">
        <f t="shared" si="26"/>
        <v>422</v>
      </c>
      <c r="I135" s="140">
        <f t="shared" si="26"/>
        <v>451.12215741363553</v>
      </c>
      <c r="J135" s="140">
        <f t="shared" si="26"/>
        <v>451.12215741363553</v>
      </c>
      <c r="K135" s="140">
        <f t="shared" si="26"/>
        <v>451.12215741363553</v>
      </c>
      <c r="L135" s="140">
        <f t="shared" si="26"/>
        <v>451.12215741363553</v>
      </c>
      <c r="M135" s="140">
        <f t="shared" si="26"/>
        <v>451.12215741363553</v>
      </c>
      <c r="N135" s="140">
        <f t="shared" si="26"/>
        <v>451.12215741363553</v>
      </c>
      <c r="O135" s="140">
        <f t="shared" si="26"/>
        <v>451.12215741363553</v>
      </c>
      <c r="P135" s="140">
        <f t="shared" si="26"/>
        <v>451.12215741363553</v>
      </c>
      <c r="Q135" s="140">
        <f t="shared" si="26"/>
        <v>451.12215741363553</v>
      </c>
      <c r="R135" s="140">
        <f t="shared" si="26"/>
        <v>451.12215741363553</v>
      </c>
    </row>
    <row r="136" spans="2:18" ht="12.75">
      <c r="B136" s="1" t="s">
        <v>5</v>
      </c>
      <c r="G136" s="9">
        <f>G135/F135-1</f>
        <v>-0.510158013544018</v>
      </c>
      <c r="H136" s="27">
        <f aca="true" t="shared" si="27" ref="H136:R136">H135/G135-1</f>
        <v>0.9447004608294931</v>
      </c>
      <c r="I136" s="9">
        <f t="shared" si="27"/>
        <v>0.06900985169107954</v>
      </c>
      <c r="J136" s="9">
        <f t="shared" si="27"/>
        <v>0</v>
      </c>
      <c r="K136" s="9">
        <f t="shared" si="27"/>
        <v>0</v>
      </c>
      <c r="L136" s="9">
        <f t="shared" si="27"/>
        <v>0</v>
      </c>
      <c r="M136" s="9">
        <f t="shared" si="27"/>
        <v>0</v>
      </c>
      <c r="N136" s="9">
        <f t="shared" si="27"/>
        <v>0</v>
      </c>
      <c r="O136" s="9">
        <f t="shared" si="27"/>
        <v>0</v>
      </c>
      <c r="P136" s="9">
        <f t="shared" si="27"/>
        <v>0</v>
      </c>
      <c r="Q136" s="9">
        <f t="shared" si="27"/>
        <v>0</v>
      </c>
      <c r="R136" s="9">
        <f t="shared" si="27"/>
        <v>0</v>
      </c>
    </row>
    <row r="137" spans="2:18" ht="12.75">
      <c r="B137" s="1" t="s">
        <v>8</v>
      </c>
      <c r="F137" s="9">
        <f>F135/F112</f>
        <v>0.03918620079610792</v>
      </c>
      <c r="G137" s="9">
        <f aca="true" t="shared" si="28" ref="G137:R137">G135/G112</f>
        <v>0.019169611307420495</v>
      </c>
      <c r="H137" s="27">
        <f t="shared" si="28"/>
        <v>0.03801801801801802</v>
      </c>
      <c r="I137" s="9">
        <f t="shared" si="28"/>
        <v>0.04081029661496752</v>
      </c>
      <c r="J137" s="9">
        <f t="shared" si="28"/>
        <v>0.04081029661496752</v>
      </c>
      <c r="K137" s="9">
        <f t="shared" si="28"/>
        <v>0.04081029661496752</v>
      </c>
      <c r="L137" s="9">
        <f t="shared" si="28"/>
        <v>0.04081029661496752</v>
      </c>
      <c r="M137" s="9">
        <f t="shared" si="28"/>
        <v>0.04081029661496752</v>
      </c>
      <c r="N137" s="9">
        <f t="shared" si="28"/>
        <v>0.04081029661496752</v>
      </c>
      <c r="O137" s="9">
        <f t="shared" si="28"/>
        <v>0.04081029661496752</v>
      </c>
      <c r="P137" s="9">
        <f t="shared" si="28"/>
        <v>0.04081029661496752</v>
      </c>
      <c r="Q137" s="9">
        <f t="shared" si="28"/>
        <v>0.04081029661496752</v>
      </c>
      <c r="R137" s="9">
        <f t="shared" si="28"/>
        <v>0.04081029661496752</v>
      </c>
    </row>
    <row r="138" ht="12.75">
      <c r="H138" s="28"/>
    </row>
    <row r="139" spans="2:8" ht="12.75">
      <c r="B139" s="225" t="s">
        <v>205</v>
      </c>
      <c r="H139" s="28"/>
    </row>
    <row r="140" spans="2:18" ht="12.75">
      <c r="B140" s="1" t="str">
        <f>B78</f>
        <v>Assumed Debt</v>
      </c>
      <c r="F140" s="140"/>
      <c r="G140" s="140"/>
      <c r="H140" s="207"/>
      <c r="I140" s="140">
        <f>I270*AVERAGE(H236:I236)</f>
        <v>171.72393130723515</v>
      </c>
      <c r="J140" s="140">
        <f aca="true" t="shared" si="29" ref="J140:R140">J270*AVERAGE(I236:J236)</f>
        <v>168.27653459764838</v>
      </c>
      <c r="K140" s="140">
        <f t="shared" si="29"/>
        <v>164.645138718538</v>
      </c>
      <c r="L140" s="140">
        <f t="shared" si="29"/>
        <v>160.8293483553411</v>
      </c>
      <c r="M140" s="140">
        <f t="shared" si="29"/>
        <v>156.81479510670027</v>
      </c>
      <c r="N140" s="140">
        <f t="shared" si="29"/>
        <v>152.58599095556798</v>
      </c>
      <c r="O140" s="140">
        <f t="shared" si="29"/>
        <v>147.98013713032145</v>
      </c>
      <c r="P140" s="140">
        <f t="shared" si="29"/>
        <v>142.9185674225882</v>
      </c>
      <c r="Q140" s="140">
        <f t="shared" si="29"/>
        <v>137.46258968568094</v>
      </c>
      <c r="R140" s="140">
        <f t="shared" si="29"/>
        <v>131.58147082641725</v>
      </c>
    </row>
    <row r="141" spans="2:18" ht="12.75">
      <c r="B141" s="1" t="str">
        <f>B79</f>
        <v>Senior Secured Credit Facility</v>
      </c>
      <c r="F141" s="141"/>
      <c r="G141" s="141"/>
      <c r="H141" s="208"/>
      <c r="I141" s="141">
        <f aca="true" t="shared" si="30" ref="I141:R144">I271*AVERAGE(H237:I237)</f>
        <v>47.25</v>
      </c>
      <c r="J141" s="141">
        <f t="shared" si="30"/>
        <v>50.75000000000001</v>
      </c>
      <c r="K141" s="141">
        <f t="shared" si="30"/>
        <v>54.25</v>
      </c>
      <c r="L141" s="141">
        <f t="shared" si="30"/>
        <v>57.74999999999999</v>
      </c>
      <c r="M141" s="141">
        <f t="shared" si="30"/>
        <v>61.24999999999999</v>
      </c>
      <c r="N141" s="141">
        <f t="shared" si="30"/>
        <v>64.75</v>
      </c>
      <c r="O141" s="141">
        <f t="shared" si="30"/>
        <v>66.5</v>
      </c>
      <c r="P141" s="141">
        <f t="shared" si="30"/>
        <v>66.5</v>
      </c>
      <c r="Q141" s="141">
        <f t="shared" si="30"/>
        <v>66.5</v>
      </c>
      <c r="R141" s="141">
        <f t="shared" si="30"/>
        <v>66.5</v>
      </c>
    </row>
    <row r="142" spans="2:18" ht="12.75">
      <c r="B142" s="1" t="str">
        <f>B80</f>
        <v>Unsecured Bridge Loan</v>
      </c>
      <c r="F142" s="141"/>
      <c r="G142" s="141"/>
      <c r="H142" s="208"/>
      <c r="I142" s="141">
        <f t="shared" si="30"/>
        <v>190</v>
      </c>
      <c r="J142" s="141">
        <f t="shared" si="30"/>
        <v>190</v>
      </c>
      <c r="K142" s="141">
        <f t="shared" si="30"/>
        <v>190</v>
      </c>
      <c r="L142" s="141">
        <f t="shared" si="30"/>
        <v>190</v>
      </c>
      <c r="M142" s="141">
        <f t="shared" si="30"/>
        <v>190</v>
      </c>
      <c r="N142" s="141">
        <f t="shared" si="30"/>
        <v>190</v>
      </c>
      <c r="O142" s="141">
        <f t="shared" si="30"/>
        <v>190</v>
      </c>
      <c r="P142" s="141">
        <f t="shared" si="30"/>
        <v>190</v>
      </c>
      <c r="Q142" s="141">
        <f t="shared" si="30"/>
        <v>190</v>
      </c>
      <c r="R142" s="141">
        <f t="shared" si="30"/>
        <v>190</v>
      </c>
    </row>
    <row r="143" spans="2:18" ht="12.75">
      <c r="B143" s="1" t="str">
        <f>B81</f>
        <v>Secured European Bridge Loan</v>
      </c>
      <c r="F143" s="141"/>
      <c r="G143" s="141"/>
      <c r="H143" s="208"/>
      <c r="I143" s="141">
        <f t="shared" si="30"/>
        <v>80</v>
      </c>
      <c r="J143" s="141">
        <f t="shared" si="30"/>
        <v>80</v>
      </c>
      <c r="K143" s="141">
        <f t="shared" si="30"/>
        <v>80</v>
      </c>
      <c r="L143" s="141">
        <f t="shared" si="30"/>
        <v>80</v>
      </c>
      <c r="M143" s="141">
        <f t="shared" si="30"/>
        <v>80</v>
      </c>
      <c r="N143" s="141">
        <f t="shared" si="30"/>
        <v>80</v>
      </c>
      <c r="O143" s="141">
        <f t="shared" si="30"/>
        <v>80</v>
      </c>
      <c r="P143" s="141">
        <f t="shared" si="30"/>
        <v>80</v>
      </c>
      <c r="Q143" s="141">
        <f t="shared" si="30"/>
        <v>80</v>
      </c>
      <c r="R143" s="141">
        <f t="shared" si="30"/>
        <v>80</v>
      </c>
    </row>
    <row r="144" spans="2:18" ht="12.75">
      <c r="B144" s="10" t="str">
        <f>B82</f>
        <v>Mortgage Loan Agreements</v>
      </c>
      <c r="C144" s="10"/>
      <c r="D144" s="10"/>
      <c r="E144" s="10"/>
      <c r="F144" s="143"/>
      <c r="G144" s="143"/>
      <c r="H144" s="227"/>
      <c r="I144" s="143">
        <f t="shared" si="30"/>
        <v>38</v>
      </c>
      <c r="J144" s="143">
        <f t="shared" si="30"/>
        <v>42</v>
      </c>
      <c r="K144" s="143">
        <f t="shared" si="30"/>
        <v>46</v>
      </c>
      <c r="L144" s="143">
        <f t="shared" si="30"/>
        <v>49.99999999999999</v>
      </c>
      <c r="M144" s="143">
        <f t="shared" si="30"/>
        <v>53.99999999999999</v>
      </c>
      <c r="N144" s="224">
        <f t="shared" si="30"/>
        <v>57.999999999999986</v>
      </c>
      <c r="O144" s="143">
        <f t="shared" si="30"/>
        <v>60</v>
      </c>
      <c r="P144" s="143">
        <f t="shared" si="30"/>
        <v>60</v>
      </c>
      <c r="Q144" s="143">
        <f t="shared" si="30"/>
        <v>60</v>
      </c>
      <c r="R144" s="143">
        <f t="shared" si="30"/>
        <v>60</v>
      </c>
    </row>
    <row r="145" spans="2:18" ht="12.75">
      <c r="B145" s="1" t="s">
        <v>209</v>
      </c>
      <c r="F145" s="140"/>
      <c r="G145" s="140"/>
      <c r="H145" s="207"/>
      <c r="I145" s="140">
        <f aca="true" t="shared" si="31" ref="I145:R145">SUM(I140:I144)</f>
        <v>526.9739313072351</v>
      </c>
      <c r="J145" s="140">
        <f t="shared" si="31"/>
        <v>531.0265345976484</v>
      </c>
      <c r="K145" s="140">
        <f t="shared" si="31"/>
        <v>534.895138718538</v>
      </c>
      <c r="L145" s="140">
        <f t="shared" si="31"/>
        <v>538.579348355341</v>
      </c>
      <c r="M145" s="140">
        <f t="shared" si="31"/>
        <v>542.0647951067002</v>
      </c>
      <c r="N145" s="140">
        <f t="shared" si="31"/>
        <v>545.3359909555679</v>
      </c>
      <c r="O145" s="140">
        <f t="shared" si="31"/>
        <v>544.4801371303215</v>
      </c>
      <c r="P145" s="140">
        <f t="shared" si="31"/>
        <v>539.4185674225882</v>
      </c>
      <c r="Q145" s="140">
        <f t="shared" si="31"/>
        <v>533.962589685681</v>
      </c>
      <c r="R145" s="140">
        <f t="shared" si="31"/>
        <v>528.0814708264172</v>
      </c>
    </row>
    <row r="146" ht="12.75">
      <c r="H146" s="28"/>
    </row>
    <row r="147" spans="2:18" ht="12.75">
      <c r="B147" s="1" t="s">
        <v>249</v>
      </c>
      <c r="F147" s="141"/>
      <c r="G147" s="141"/>
      <c r="H147" s="208"/>
      <c r="I147" s="141">
        <f>I267*AVERAGE(H217:I217)</f>
        <v>40.5275</v>
      </c>
      <c r="J147" s="141">
        <f aca="true" t="shared" si="32" ref="J147:R147">J267*AVERAGE(I217:J217)</f>
        <v>46.762499999999996</v>
      </c>
      <c r="K147" s="141">
        <f t="shared" si="32"/>
        <v>52.997499999999995</v>
      </c>
      <c r="L147" s="141">
        <f t="shared" si="32"/>
        <v>59.232499999999995</v>
      </c>
      <c r="M147" s="141">
        <f t="shared" si="32"/>
        <v>65.46749999999999</v>
      </c>
      <c r="N147" s="141">
        <f t="shared" si="32"/>
        <v>71.70249999999999</v>
      </c>
      <c r="O147" s="141">
        <f t="shared" si="32"/>
        <v>77.93749999999999</v>
      </c>
      <c r="P147" s="141">
        <f t="shared" si="32"/>
        <v>77.9375</v>
      </c>
      <c r="Q147" s="141">
        <f t="shared" si="32"/>
        <v>77.9375</v>
      </c>
      <c r="R147" s="141">
        <f t="shared" si="32"/>
        <v>77.9375</v>
      </c>
    </row>
    <row r="148" ht="12.75">
      <c r="H148" s="28"/>
    </row>
    <row r="149" spans="2:18" ht="12.75">
      <c r="B149" s="1" t="s">
        <v>206</v>
      </c>
      <c r="F149" s="140"/>
      <c r="G149" s="140"/>
      <c r="H149" s="207"/>
      <c r="I149" s="140">
        <f aca="true" t="shared" si="33" ref="I149:R149">I135-I145+I147</f>
        <v>-35.32427389359961</v>
      </c>
      <c r="J149" s="140">
        <f t="shared" si="33"/>
        <v>-33.14187718401285</v>
      </c>
      <c r="K149" s="140">
        <f t="shared" si="33"/>
        <v>-30.775481304902435</v>
      </c>
      <c r="L149" s="140">
        <f t="shared" si="33"/>
        <v>-28.22469094170551</v>
      </c>
      <c r="M149" s="140">
        <f t="shared" si="33"/>
        <v>-25.475137693064696</v>
      </c>
      <c r="N149" s="140">
        <f t="shared" si="33"/>
        <v>-22.5113335419324</v>
      </c>
      <c r="O149" s="140">
        <f t="shared" si="33"/>
        <v>-15.420479716685989</v>
      </c>
      <c r="P149" s="140">
        <f t="shared" si="33"/>
        <v>-10.358910008952705</v>
      </c>
      <c r="Q149" s="140">
        <f t="shared" si="33"/>
        <v>-4.902932272045462</v>
      </c>
      <c r="R149" s="140">
        <f t="shared" si="33"/>
        <v>0.9781865872183175</v>
      </c>
    </row>
    <row r="150" spans="2:18" ht="12.75">
      <c r="B150" s="1" t="s">
        <v>314</v>
      </c>
      <c r="F150" s="140"/>
      <c r="G150" s="140"/>
      <c r="H150" s="207"/>
      <c r="I150" s="141">
        <f>I203</f>
        <v>0</v>
      </c>
      <c r="J150" s="141">
        <f aca="true" t="shared" si="34" ref="J150:R150">J203</f>
        <v>0</v>
      </c>
      <c r="K150" s="141">
        <f t="shared" si="34"/>
        <v>0</v>
      </c>
      <c r="L150" s="141">
        <f t="shared" si="34"/>
        <v>0</v>
      </c>
      <c r="M150" s="141">
        <f t="shared" si="34"/>
        <v>0</v>
      </c>
      <c r="N150" s="141">
        <f t="shared" si="34"/>
        <v>0</v>
      </c>
      <c r="O150" s="141">
        <f t="shared" si="34"/>
        <v>0</v>
      </c>
      <c r="P150" s="141">
        <f t="shared" si="34"/>
        <v>0</v>
      </c>
      <c r="Q150" s="141">
        <f t="shared" si="34"/>
        <v>0</v>
      </c>
      <c r="R150" s="141">
        <f t="shared" si="34"/>
        <v>0.9781865872183175</v>
      </c>
    </row>
    <row r="151" spans="2:18" ht="12.75">
      <c r="B151" s="10" t="s">
        <v>207</v>
      </c>
      <c r="C151" s="266">
        <f>'Case Manager'!K23</f>
        <v>0.35</v>
      </c>
      <c r="D151" s="10"/>
      <c r="E151" s="10"/>
      <c r="F151" s="10"/>
      <c r="G151" s="10"/>
      <c r="H151" s="246"/>
      <c r="I151" s="143">
        <f>IF(I149&lt;0,0,(I149-I150)*$C$151)</f>
        <v>0</v>
      </c>
      <c r="J151" s="143">
        <f aca="true" t="shared" si="35" ref="J151:R151">IF(J149&lt;0,0,(J149-J150)*$C$151)</f>
        <v>0</v>
      </c>
      <c r="K151" s="143">
        <f t="shared" si="35"/>
        <v>0</v>
      </c>
      <c r="L151" s="143">
        <f t="shared" si="35"/>
        <v>0</v>
      </c>
      <c r="M151" s="143">
        <f t="shared" si="35"/>
        <v>0</v>
      </c>
      <c r="N151" s="143">
        <f t="shared" si="35"/>
        <v>0</v>
      </c>
      <c r="O151" s="143">
        <f t="shared" si="35"/>
        <v>0</v>
      </c>
      <c r="P151" s="143">
        <f t="shared" si="35"/>
        <v>0</v>
      </c>
      <c r="Q151" s="143">
        <f t="shared" si="35"/>
        <v>0</v>
      </c>
      <c r="R151" s="143">
        <f t="shared" si="35"/>
        <v>0</v>
      </c>
    </row>
    <row r="152" spans="2:18" ht="12.75">
      <c r="B152" s="1" t="s">
        <v>208</v>
      </c>
      <c r="F152" s="140"/>
      <c r="H152" s="28"/>
      <c r="I152" s="140">
        <f aca="true" t="shared" si="36" ref="I152:R152">I149-I151</f>
        <v>-35.32427389359961</v>
      </c>
      <c r="J152" s="140">
        <f t="shared" si="36"/>
        <v>-33.14187718401285</v>
      </c>
      <c r="K152" s="140">
        <f t="shared" si="36"/>
        <v>-30.775481304902435</v>
      </c>
      <c r="L152" s="140">
        <f t="shared" si="36"/>
        <v>-28.22469094170551</v>
      </c>
      <c r="M152" s="140">
        <f t="shared" si="36"/>
        <v>-25.475137693064696</v>
      </c>
      <c r="N152" s="140">
        <f t="shared" si="36"/>
        <v>-22.5113335419324</v>
      </c>
      <c r="O152" s="140">
        <f t="shared" si="36"/>
        <v>-15.420479716685989</v>
      </c>
      <c r="P152" s="140">
        <f t="shared" si="36"/>
        <v>-10.358910008952705</v>
      </c>
      <c r="Q152" s="140">
        <f t="shared" si="36"/>
        <v>-4.902932272045462</v>
      </c>
      <c r="R152" s="140">
        <f t="shared" si="36"/>
        <v>0.9781865872183175</v>
      </c>
    </row>
    <row r="153" spans="2:18" ht="12.75">
      <c r="B153" s="1" t="s">
        <v>5</v>
      </c>
      <c r="H153" s="28"/>
      <c r="J153" s="9">
        <f>J152/I152-1</f>
        <v>-0.06178178541363277</v>
      </c>
      <c r="K153" s="9">
        <f aca="true" t="shared" si="37" ref="K153:R153">K152/J152-1</f>
        <v>-0.0714019868570368</v>
      </c>
      <c r="L153" s="9">
        <f t="shared" si="37"/>
        <v>-0.08288384957900208</v>
      </c>
      <c r="M153" s="9">
        <f t="shared" si="37"/>
        <v>-0.09741659365977351</v>
      </c>
      <c r="N153" s="9">
        <f t="shared" si="37"/>
        <v>-0.11634104540832979</v>
      </c>
      <c r="O153" s="9">
        <f t="shared" si="37"/>
        <v>-0.31499039415137753</v>
      </c>
      <c r="P153" s="9">
        <f t="shared" si="37"/>
        <v>-0.3282368512995304</v>
      </c>
      <c r="Q153" s="9">
        <f t="shared" si="37"/>
        <v>-0.5266941919750153</v>
      </c>
      <c r="R153" s="9">
        <f t="shared" si="37"/>
        <v>-1.1995105240991277</v>
      </c>
    </row>
    <row r="154" spans="2:18" ht="12.75">
      <c r="B154" s="1" t="s">
        <v>8</v>
      </c>
      <c r="H154" s="28"/>
      <c r="I154" s="9">
        <f aca="true" t="shared" si="38" ref="I154:R154">I152/I112</f>
        <v>-0.0031955736857862886</v>
      </c>
      <c r="J154" s="9">
        <f t="shared" si="38"/>
        <v>-0.0029981454380575887</v>
      </c>
      <c r="K154" s="9">
        <f t="shared" si="38"/>
        <v>-0.002784071896893916</v>
      </c>
      <c r="L154" s="9">
        <f t="shared" si="38"/>
        <v>-0.0025533173005746336</v>
      </c>
      <c r="M154" s="9">
        <f t="shared" si="38"/>
        <v>-0.0023045818266200844</v>
      </c>
      <c r="N154" s="9">
        <f t="shared" si="38"/>
        <v>-0.0020364643676820658</v>
      </c>
      <c r="O154" s="9">
        <f t="shared" si="38"/>
        <v>-0.001394997653830656</v>
      </c>
      <c r="P154" s="9">
        <f t="shared" si="38"/>
        <v>-0.0009371080163670492</v>
      </c>
      <c r="Q154" s="9">
        <f t="shared" si="38"/>
        <v>-0.0004435386668932968</v>
      </c>
      <c r="R154" s="9">
        <f t="shared" si="38"/>
        <v>8.849063189011012E-05</v>
      </c>
    </row>
    <row r="155" ht="12.75">
      <c r="H155" s="28"/>
    </row>
    <row r="156" spans="2:18" ht="12.75">
      <c r="B156" s="1" t="str">
        <f>B179</f>
        <v>Proceeds from Store Sales (After-Tax)</v>
      </c>
      <c r="H156" s="28"/>
      <c r="I156" s="141">
        <f aca="true" t="shared" si="39" ref="I156:R156">I179</f>
        <v>0</v>
      </c>
      <c r="J156" s="141">
        <f t="shared" si="39"/>
        <v>0</v>
      </c>
      <c r="K156" s="141">
        <f t="shared" si="39"/>
        <v>0</v>
      </c>
      <c r="L156" s="141">
        <f t="shared" si="39"/>
        <v>0</v>
      </c>
      <c r="M156" s="141">
        <f t="shared" si="39"/>
        <v>0</v>
      </c>
      <c r="N156" s="141">
        <f t="shared" si="39"/>
        <v>0</v>
      </c>
      <c r="O156" s="141">
        <f t="shared" si="39"/>
        <v>0</v>
      </c>
      <c r="P156" s="141">
        <f t="shared" si="39"/>
        <v>0</v>
      </c>
      <c r="Q156" s="141">
        <f t="shared" si="39"/>
        <v>0</v>
      </c>
      <c r="R156" s="141">
        <f t="shared" si="39"/>
        <v>0</v>
      </c>
    </row>
    <row r="157" spans="2:18" ht="12.75">
      <c r="B157" s="10" t="s">
        <v>210</v>
      </c>
      <c r="C157" s="10"/>
      <c r="D157" s="10"/>
      <c r="E157" s="10"/>
      <c r="F157" s="143"/>
      <c r="G157" s="143"/>
      <c r="H157" s="227"/>
      <c r="I157" s="143">
        <f>'Case Manager'!$K$24</f>
        <v>0</v>
      </c>
      <c r="J157" s="143">
        <f>I157</f>
        <v>0</v>
      </c>
      <c r="K157" s="143">
        <f aca="true" t="shared" si="40" ref="K157:R157">J157</f>
        <v>0</v>
      </c>
      <c r="L157" s="143">
        <f t="shared" si="40"/>
        <v>0</v>
      </c>
      <c r="M157" s="143">
        <f t="shared" si="40"/>
        <v>0</v>
      </c>
      <c r="N157" s="143">
        <f t="shared" si="40"/>
        <v>0</v>
      </c>
      <c r="O157" s="143">
        <f t="shared" si="40"/>
        <v>0</v>
      </c>
      <c r="P157" s="143">
        <f t="shared" si="40"/>
        <v>0</v>
      </c>
      <c r="Q157" s="143">
        <f t="shared" si="40"/>
        <v>0</v>
      </c>
      <c r="R157" s="143">
        <f t="shared" si="40"/>
        <v>0</v>
      </c>
    </row>
    <row r="158" spans="2:18" ht="13.5" thickBot="1">
      <c r="B158" s="228" t="s">
        <v>86</v>
      </c>
      <c r="C158" s="228"/>
      <c r="D158" s="228"/>
      <c r="E158" s="228"/>
      <c r="F158" s="228"/>
      <c r="G158" s="228"/>
      <c r="H158" s="229"/>
      <c r="I158" s="230">
        <f>I152+I156-I157</f>
        <v>-35.32427389359961</v>
      </c>
      <c r="J158" s="230">
        <f aca="true" t="shared" si="41" ref="J158:R158">J152+J156-J157</f>
        <v>-33.14187718401285</v>
      </c>
      <c r="K158" s="230">
        <f t="shared" si="41"/>
        <v>-30.775481304902435</v>
      </c>
      <c r="L158" s="230">
        <f t="shared" si="41"/>
        <v>-28.22469094170551</v>
      </c>
      <c r="M158" s="230">
        <f t="shared" si="41"/>
        <v>-25.475137693064696</v>
      </c>
      <c r="N158" s="230">
        <f t="shared" si="41"/>
        <v>-22.5113335419324</v>
      </c>
      <c r="O158" s="230">
        <f t="shared" si="41"/>
        <v>-15.420479716685989</v>
      </c>
      <c r="P158" s="230">
        <f t="shared" si="41"/>
        <v>-10.358910008952705</v>
      </c>
      <c r="Q158" s="230">
        <f t="shared" si="41"/>
        <v>-4.902932272045462</v>
      </c>
      <c r="R158" s="230">
        <f t="shared" si="41"/>
        <v>0.9781865872183175</v>
      </c>
    </row>
    <row r="161" spans="1:18" ht="15.75">
      <c r="A161" s="76" t="s">
        <v>203</v>
      </c>
      <c r="B161" s="190" t="s">
        <v>213</v>
      </c>
      <c r="C161" s="190"/>
      <c r="D161" s="190"/>
      <c r="E161" s="190"/>
      <c r="F161" s="190"/>
      <c r="G161" s="190"/>
      <c r="H161" s="190"/>
      <c r="I161" s="190"/>
      <c r="J161" s="190"/>
      <c r="K161" s="190"/>
      <c r="L161" s="190"/>
      <c r="M161" s="190"/>
      <c r="N161" s="190"/>
      <c r="O161" s="190"/>
      <c r="P161" s="190"/>
      <c r="Q161" s="190"/>
      <c r="R161" s="190"/>
    </row>
    <row r="162" ht="12.75">
      <c r="B162" s="231" t="str">
        <f>'Case Manager'!$K$5</f>
        <v>($ in millions)</v>
      </c>
    </row>
    <row r="164" spans="2:14" ht="13.5">
      <c r="B164" s="2" t="str">
        <f>'Case Manager'!$D$65</f>
        <v>Base Case</v>
      </c>
      <c r="N164" s="76"/>
    </row>
    <row r="165" spans="2:18" ht="14.25" thickBot="1">
      <c r="B165" s="3"/>
      <c r="C165" s="4"/>
      <c r="D165" s="4"/>
      <c r="E165" s="4"/>
      <c r="F165" s="4"/>
      <c r="G165" s="4"/>
      <c r="H165" s="4"/>
      <c r="I165" s="4"/>
      <c r="J165" s="4"/>
      <c r="K165" s="4"/>
      <c r="L165" s="4"/>
      <c r="M165" s="4"/>
      <c r="N165" s="4"/>
      <c r="O165" s="4"/>
      <c r="P165" s="4"/>
      <c r="Q165" s="4"/>
      <c r="R165" s="4"/>
    </row>
    <row r="166" spans="2:18" ht="13.5">
      <c r="B166" s="5" t="str">
        <f>'Case Manager'!$K$6</f>
        <v>For the FYE January 31</v>
      </c>
      <c r="F166" s="12" t="str">
        <f>'Summary of Consolidated Fins'!$F$7</f>
        <v>Actual</v>
      </c>
      <c r="G166" s="13"/>
      <c r="H166" s="14"/>
      <c r="I166" s="12" t="str">
        <f>'Summary of Consolidated Fins'!$I$7</f>
        <v>Projected</v>
      </c>
      <c r="J166" s="12"/>
      <c r="K166" s="12"/>
      <c r="L166" s="13"/>
      <c r="M166" s="6"/>
      <c r="N166" s="6"/>
      <c r="O166" s="6"/>
      <c r="P166" s="6"/>
      <c r="Q166" s="6"/>
      <c r="R166" s="6"/>
    </row>
    <row r="167" spans="2:18" ht="12.75">
      <c r="B167" s="7"/>
      <c r="C167" s="7"/>
      <c r="D167" s="7"/>
      <c r="E167" s="7"/>
      <c r="F167" s="15">
        <f>'Summary of Consolidated Fins'!$F$8</f>
        <v>2003</v>
      </c>
      <c r="G167" s="15">
        <f>'Summary of Consolidated Fins'!$G$8</f>
        <v>2004</v>
      </c>
      <c r="H167" s="16">
        <f>'Summary of Consolidated Fins'!$H$8</f>
        <v>2005</v>
      </c>
      <c r="I167" s="15">
        <f>'Summary of Consolidated Fins'!$I$8</f>
        <v>2006</v>
      </c>
      <c r="J167" s="15">
        <f>'Summary of Consolidated Fins'!$J$8</f>
        <v>2007</v>
      </c>
      <c r="K167" s="15">
        <f>'Summary of Consolidated Fins'!$K$8</f>
        <v>2008</v>
      </c>
      <c r="L167" s="15">
        <f>'Summary of Consolidated Fins'!$L$8</f>
        <v>2009</v>
      </c>
      <c r="M167" s="32">
        <f>'Summary of Consolidated Fins'!$M$8</f>
        <v>2010</v>
      </c>
      <c r="N167" s="32">
        <f>M167+1</f>
        <v>2011</v>
      </c>
      <c r="O167" s="32">
        <f>N167+1</f>
        <v>2012</v>
      </c>
      <c r="P167" s="32">
        <f>O167+1</f>
        <v>2013</v>
      </c>
      <c r="Q167" s="32">
        <f>P167+1</f>
        <v>2014</v>
      </c>
      <c r="R167" s="32">
        <f>Q167+1</f>
        <v>2015</v>
      </c>
    </row>
    <row r="168" spans="2:18" ht="12.75">
      <c r="B168" s="1" t="str">
        <f>B124</f>
        <v>Consolidated EBITDA</v>
      </c>
      <c r="I168" s="140">
        <f aca="true" t="shared" si="42" ref="I168:R168">I124</f>
        <v>799.3877250603452</v>
      </c>
      <c r="J168" s="140">
        <f t="shared" si="42"/>
        <v>799.3877250603452</v>
      </c>
      <c r="K168" s="140">
        <f t="shared" si="42"/>
        <v>799.3877250603452</v>
      </c>
      <c r="L168" s="140">
        <f t="shared" si="42"/>
        <v>799.3877250603452</v>
      </c>
      <c r="M168" s="140">
        <f t="shared" si="42"/>
        <v>799.3877250603452</v>
      </c>
      <c r="N168" s="140">
        <f t="shared" si="42"/>
        <v>799.3877250603452</v>
      </c>
      <c r="O168" s="140">
        <f t="shared" si="42"/>
        <v>799.3877250603452</v>
      </c>
      <c r="P168" s="140">
        <f t="shared" si="42"/>
        <v>799.3877250603452</v>
      </c>
      <c r="Q168" s="140">
        <f t="shared" si="42"/>
        <v>799.3877250603452</v>
      </c>
      <c r="R168" s="140">
        <f t="shared" si="42"/>
        <v>799.3877250603452</v>
      </c>
    </row>
    <row r="169" spans="2:18" ht="12.75">
      <c r="B169" s="10" t="str">
        <f>'Summary of Consolidated Fins'!B32</f>
        <v>Net Capex</v>
      </c>
      <c r="C169" s="10"/>
      <c r="D169" s="10"/>
      <c r="E169" s="10"/>
      <c r="F169" s="10"/>
      <c r="G169" s="10"/>
      <c r="H169" s="10"/>
      <c r="I169" s="143">
        <f>'Summary of Consolidated Fins'!I32</f>
        <v>267.88827668078034</v>
      </c>
      <c r="J169" s="143">
        <f>'Summary of Consolidated Fins'!J32</f>
        <v>267.88827668078034</v>
      </c>
      <c r="K169" s="143">
        <f>'Summary of Consolidated Fins'!K32</f>
        <v>267.88827668078034</v>
      </c>
      <c r="L169" s="143">
        <f>'Summary of Consolidated Fins'!L32</f>
        <v>267.88827668078034</v>
      </c>
      <c r="M169" s="143">
        <f>'Summary of Consolidated Fins'!M32</f>
        <v>267.88827668078034</v>
      </c>
      <c r="N169" s="224">
        <f>M169/M112*N112</f>
        <v>267.88827668078034</v>
      </c>
      <c r="O169" s="143">
        <f>N169/N112*O112</f>
        <v>267.88827668078034</v>
      </c>
      <c r="P169" s="143">
        <f>O169/O112*P112</f>
        <v>267.88827668078034</v>
      </c>
      <c r="Q169" s="143">
        <f>P169/P112*Q112</f>
        <v>267.88827668078034</v>
      </c>
      <c r="R169" s="143">
        <f>Q169/Q112*R112</f>
        <v>267.88827668078034</v>
      </c>
    </row>
    <row r="170" spans="2:18" ht="12.75">
      <c r="B170" s="96" t="s">
        <v>250</v>
      </c>
      <c r="C170" s="96"/>
      <c r="D170" s="96"/>
      <c r="E170" s="96"/>
      <c r="F170" s="96"/>
      <c r="G170" s="96"/>
      <c r="H170" s="96"/>
      <c r="I170" s="214">
        <f>I168-I169</f>
        <v>531.4994483795649</v>
      </c>
      <c r="J170" s="214">
        <f aca="true" t="shared" si="43" ref="J170:R170">J168-J169</f>
        <v>531.4994483795649</v>
      </c>
      <c r="K170" s="214">
        <f t="shared" si="43"/>
        <v>531.4994483795649</v>
      </c>
      <c r="L170" s="214">
        <f t="shared" si="43"/>
        <v>531.4994483795649</v>
      </c>
      <c r="M170" s="214">
        <f t="shared" si="43"/>
        <v>531.4994483795649</v>
      </c>
      <c r="N170" s="214">
        <f t="shared" si="43"/>
        <v>531.4994483795649</v>
      </c>
      <c r="O170" s="214">
        <f t="shared" si="43"/>
        <v>531.4994483795649</v>
      </c>
      <c r="P170" s="214">
        <f t="shared" si="43"/>
        <v>531.4994483795649</v>
      </c>
      <c r="Q170" s="214">
        <f t="shared" si="43"/>
        <v>531.4994483795649</v>
      </c>
      <c r="R170" s="214">
        <f t="shared" si="43"/>
        <v>531.4994483795649</v>
      </c>
    </row>
    <row r="171" spans="9:18" ht="12.75">
      <c r="I171" s="140"/>
      <c r="J171" s="140"/>
      <c r="K171" s="140"/>
      <c r="L171" s="140"/>
      <c r="M171" s="140"/>
      <c r="N171" s="264"/>
      <c r="O171" s="140"/>
      <c r="P171" s="140"/>
      <c r="Q171" s="140"/>
      <c r="R171" s="140"/>
    </row>
    <row r="172" spans="2:18" ht="12.75">
      <c r="B172" s="244" t="s">
        <v>251</v>
      </c>
      <c r="I172" s="140">
        <f>I301</f>
        <v>-0.357851931933169</v>
      </c>
      <c r="J172" s="140">
        <f aca="true" t="shared" si="44" ref="J172:R172">J301</f>
        <v>0</v>
      </c>
      <c r="K172" s="140">
        <f t="shared" si="44"/>
        <v>0</v>
      </c>
      <c r="L172" s="140">
        <f t="shared" si="44"/>
        <v>0</v>
      </c>
      <c r="M172" s="140">
        <f t="shared" si="44"/>
        <v>0</v>
      </c>
      <c r="N172" s="140">
        <f t="shared" si="44"/>
        <v>0</v>
      </c>
      <c r="O172" s="140">
        <f t="shared" si="44"/>
        <v>0</v>
      </c>
      <c r="P172" s="140">
        <f t="shared" si="44"/>
        <v>0</v>
      </c>
      <c r="Q172" s="140">
        <f t="shared" si="44"/>
        <v>0</v>
      </c>
      <c r="R172" s="140">
        <f t="shared" si="44"/>
        <v>0</v>
      </c>
    </row>
    <row r="173" spans="2:18" ht="12.75">
      <c r="B173" s="185" t="s">
        <v>252</v>
      </c>
      <c r="I173" s="141">
        <f aca="true" t="shared" si="45" ref="I173:R173">I303</f>
        <v>0</v>
      </c>
      <c r="J173" s="141">
        <f t="shared" si="45"/>
        <v>0</v>
      </c>
      <c r="K173" s="141">
        <f t="shared" si="45"/>
        <v>0</v>
      </c>
      <c r="L173" s="141">
        <f t="shared" si="45"/>
        <v>0</v>
      </c>
      <c r="M173" s="141">
        <f t="shared" si="45"/>
        <v>0</v>
      </c>
      <c r="N173" s="141">
        <f t="shared" si="45"/>
        <v>0</v>
      </c>
      <c r="O173" s="141">
        <f t="shared" si="45"/>
        <v>0</v>
      </c>
      <c r="P173" s="141">
        <f t="shared" si="45"/>
        <v>0</v>
      </c>
      <c r="Q173" s="141">
        <f t="shared" si="45"/>
        <v>0</v>
      </c>
      <c r="R173" s="141">
        <f t="shared" si="45"/>
        <v>0</v>
      </c>
    </row>
    <row r="174" spans="2:18" ht="12.75">
      <c r="B174" s="185" t="s">
        <v>253</v>
      </c>
      <c r="I174" s="141">
        <f>I304</f>
        <v>0</v>
      </c>
      <c r="J174" s="141">
        <f aca="true" t="shared" si="46" ref="J174:R174">J304</f>
        <v>0</v>
      </c>
      <c r="K174" s="141">
        <f t="shared" si="46"/>
        <v>0</v>
      </c>
      <c r="L174" s="141">
        <f t="shared" si="46"/>
        <v>0</v>
      </c>
      <c r="M174" s="141">
        <f t="shared" si="46"/>
        <v>0</v>
      </c>
      <c r="N174" s="141">
        <f t="shared" si="46"/>
        <v>0</v>
      </c>
      <c r="O174" s="141">
        <f t="shared" si="46"/>
        <v>0</v>
      </c>
      <c r="P174" s="141">
        <f t="shared" si="46"/>
        <v>0</v>
      </c>
      <c r="Q174" s="141">
        <f t="shared" si="46"/>
        <v>0</v>
      </c>
      <c r="R174" s="141">
        <f t="shared" si="46"/>
        <v>0</v>
      </c>
    </row>
    <row r="175" spans="2:18" ht="12.75">
      <c r="B175" s="250" t="s">
        <v>254</v>
      </c>
      <c r="I175" s="141">
        <f>-I151</f>
        <v>0</v>
      </c>
      <c r="J175" s="141">
        <f aca="true" t="shared" si="47" ref="J175:R175">-J151</f>
        <v>0</v>
      </c>
      <c r="K175" s="141">
        <f t="shared" si="47"/>
        <v>0</v>
      </c>
      <c r="L175" s="141">
        <f t="shared" si="47"/>
        <v>0</v>
      </c>
      <c r="M175" s="141">
        <f t="shared" si="47"/>
        <v>0</v>
      </c>
      <c r="N175" s="141">
        <f t="shared" si="47"/>
        <v>0</v>
      </c>
      <c r="O175" s="141">
        <f t="shared" si="47"/>
        <v>0</v>
      </c>
      <c r="P175" s="141">
        <f t="shared" si="47"/>
        <v>0</v>
      </c>
      <c r="Q175" s="141">
        <f t="shared" si="47"/>
        <v>0</v>
      </c>
      <c r="R175" s="141">
        <f t="shared" si="47"/>
        <v>0</v>
      </c>
    </row>
    <row r="176" spans="2:18" ht="12.75">
      <c r="B176" s="269" t="s">
        <v>255</v>
      </c>
      <c r="C176" s="10"/>
      <c r="D176" s="10"/>
      <c r="E176" s="10"/>
      <c r="F176" s="10"/>
      <c r="G176" s="10"/>
      <c r="H176" s="10"/>
      <c r="I176" s="143">
        <f>IF(H217&gt;='Case Manager'!$G$67,H217-'Case Manager'!$G$67,-('Case Manager'!$G$67-H217))</f>
        <v>0</v>
      </c>
      <c r="J176" s="143">
        <f>IF(I217&gt;='Case Manager'!$G$67,I217-'Case Manager'!$G$67,-('Case Manager'!$G$67-I217))</f>
        <v>0</v>
      </c>
      <c r="K176" s="143">
        <f>IF(J217&gt;='Case Manager'!$G$67,J217-'Case Manager'!$G$67,-('Case Manager'!$G$67-J217))</f>
        <v>0</v>
      </c>
      <c r="L176" s="143">
        <f>IF(K217&gt;='Case Manager'!$G$67,K217-'Case Manager'!$G$67,-('Case Manager'!$G$67-K217))</f>
        <v>0</v>
      </c>
      <c r="M176" s="143">
        <f>IF(L217&gt;='Case Manager'!$G$67,L217-'Case Manager'!$G$67,-('Case Manager'!$G$67-L217))</f>
        <v>0</v>
      </c>
      <c r="N176" s="143">
        <f>IF(M217&gt;='Case Manager'!$G$67,M217-'Case Manager'!$G$67,-('Case Manager'!$G$67-M217))</f>
        <v>0</v>
      </c>
      <c r="O176" s="143">
        <f>IF(N217&gt;='Case Manager'!$G$67,N217-'Case Manager'!$G$67,-('Case Manager'!$G$67-N217))</f>
        <v>0</v>
      </c>
      <c r="P176" s="143">
        <f>IF(O217&gt;='Case Manager'!$G$67,O217-'Case Manager'!$G$67,-('Case Manager'!$G$67-O217))</f>
        <v>0</v>
      </c>
      <c r="Q176" s="143">
        <f>IF(P217&gt;='Case Manager'!$G$67,P217-'Case Manager'!$G$67,-('Case Manager'!$G$67-P217))</f>
        <v>0</v>
      </c>
      <c r="R176" s="143">
        <f>IF(Q217&gt;='Case Manager'!$G$67,Q217-'Case Manager'!$G$67,-('Case Manager'!$G$67-Q217))</f>
        <v>0</v>
      </c>
    </row>
    <row r="177" spans="2:18" ht="12.75">
      <c r="B177" s="265" t="s">
        <v>257</v>
      </c>
      <c r="I177" s="258">
        <f aca="true" t="shared" si="48" ref="I177:R177">SUM(I172:I176)</f>
        <v>-0.357851931933169</v>
      </c>
      <c r="J177" s="258">
        <f t="shared" si="48"/>
        <v>0</v>
      </c>
      <c r="K177" s="258">
        <f t="shared" si="48"/>
        <v>0</v>
      </c>
      <c r="L177" s="258">
        <f t="shared" si="48"/>
        <v>0</v>
      </c>
      <c r="M177" s="258">
        <f t="shared" si="48"/>
        <v>0</v>
      </c>
      <c r="N177" s="258">
        <f t="shared" si="48"/>
        <v>0</v>
      </c>
      <c r="O177" s="258">
        <f t="shared" si="48"/>
        <v>0</v>
      </c>
      <c r="P177" s="258">
        <f t="shared" si="48"/>
        <v>0</v>
      </c>
      <c r="Q177" s="258">
        <f t="shared" si="48"/>
        <v>0</v>
      </c>
      <c r="R177" s="258">
        <f t="shared" si="48"/>
        <v>0</v>
      </c>
    </row>
    <row r="178" spans="2:18" ht="12.75">
      <c r="B178" s="8"/>
      <c r="I178" s="140"/>
      <c r="J178" s="140"/>
      <c r="K178" s="140"/>
      <c r="L178" s="140"/>
      <c r="M178" s="140"/>
      <c r="N178" s="264"/>
      <c r="O178" s="140"/>
      <c r="P178" s="140"/>
      <c r="Q178" s="140"/>
      <c r="R178" s="140"/>
    </row>
    <row r="179" spans="2:18" s="8" customFormat="1" ht="12.75">
      <c r="B179" s="8" t="str">
        <f>'Summary of Consolidated Fins'!B35</f>
        <v>Proceeds from Store Sales (After-Tax)</v>
      </c>
      <c r="C179" s="31"/>
      <c r="I179" s="203">
        <f>'Summary of Consolidated Fins'!I35</f>
        <v>0</v>
      </c>
      <c r="J179" s="203">
        <f>'Summary of Consolidated Fins'!J35</f>
        <v>0</v>
      </c>
      <c r="K179" s="203">
        <f>'Summary of Consolidated Fins'!K35</f>
        <v>0</v>
      </c>
      <c r="L179" s="203">
        <f>'Summary of Consolidated Fins'!L35</f>
        <v>0</v>
      </c>
      <c r="M179" s="203">
        <f>'Summary of Consolidated Fins'!M35</f>
        <v>0</v>
      </c>
      <c r="N179" s="270">
        <v>0</v>
      </c>
      <c r="O179" s="203">
        <f>N179</f>
        <v>0</v>
      </c>
      <c r="P179" s="203">
        <f>O179</f>
        <v>0</v>
      </c>
      <c r="Q179" s="203">
        <f>P179</f>
        <v>0</v>
      </c>
      <c r="R179" s="203">
        <f>Q179</f>
        <v>0</v>
      </c>
    </row>
    <row r="180" spans="9:18" ht="12.75">
      <c r="I180" s="140"/>
      <c r="J180" s="140"/>
      <c r="K180" s="140"/>
      <c r="L180" s="140"/>
      <c r="M180" s="140"/>
      <c r="N180" s="264"/>
      <c r="O180" s="140"/>
      <c r="P180" s="140"/>
      <c r="Q180" s="140"/>
      <c r="R180" s="140"/>
    </row>
    <row r="181" spans="2:18" ht="12.75">
      <c r="B181" s="96" t="s">
        <v>256</v>
      </c>
      <c r="C181" s="96"/>
      <c r="D181" s="96"/>
      <c r="E181" s="96"/>
      <c r="F181" s="96"/>
      <c r="G181" s="96"/>
      <c r="H181" s="96"/>
      <c r="I181" s="214">
        <f>I170+I177+I179</f>
        <v>531.1415964476317</v>
      </c>
      <c r="J181" s="214">
        <f aca="true" t="shared" si="49" ref="J181:R181">J170+J177+J179</f>
        <v>531.4994483795649</v>
      </c>
      <c r="K181" s="214">
        <f t="shared" si="49"/>
        <v>531.4994483795649</v>
      </c>
      <c r="L181" s="214">
        <f t="shared" si="49"/>
        <v>531.4994483795649</v>
      </c>
      <c r="M181" s="214">
        <f t="shared" si="49"/>
        <v>531.4994483795649</v>
      </c>
      <c r="N181" s="214">
        <f t="shared" si="49"/>
        <v>531.4994483795649</v>
      </c>
      <c r="O181" s="214">
        <f t="shared" si="49"/>
        <v>531.4994483795649</v>
      </c>
      <c r="P181" s="214">
        <f t="shared" si="49"/>
        <v>531.4994483795649</v>
      </c>
      <c r="Q181" s="214">
        <f t="shared" si="49"/>
        <v>531.4994483795649</v>
      </c>
      <c r="R181" s="214">
        <f t="shared" si="49"/>
        <v>531.4994483795649</v>
      </c>
    </row>
    <row r="182" spans="9:18" ht="12.75">
      <c r="I182" s="140"/>
      <c r="J182" s="140"/>
      <c r="K182" s="140"/>
      <c r="L182" s="140"/>
      <c r="M182" s="140"/>
      <c r="N182" s="264"/>
      <c r="O182" s="140"/>
      <c r="P182" s="140"/>
      <c r="Q182" s="140"/>
      <c r="R182" s="140"/>
    </row>
    <row r="183" spans="2:18" ht="12.75">
      <c r="B183" s="1" t="str">
        <f>B145</f>
        <v>Total Interest Expense</v>
      </c>
      <c r="I183" s="140">
        <f aca="true" t="shared" si="50" ref="I183:R183">I145</f>
        <v>526.9739313072351</v>
      </c>
      <c r="J183" s="140">
        <f t="shared" si="50"/>
        <v>531.0265345976484</v>
      </c>
      <c r="K183" s="140">
        <f t="shared" si="50"/>
        <v>534.895138718538</v>
      </c>
      <c r="L183" s="140">
        <f t="shared" si="50"/>
        <v>538.579348355341</v>
      </c>
      <c r="M183" s="140">
        <f t="shared" si="50"/>
        <v>542.0647951067002</v>
      </c>
      <c r="N183" s="140">
        <f t="shared" si="50"/>
        <v>545.3359909555679</v>
      </c>
      <c r="O183" s="140">
        <f t="shared" si="50"/>
        <v>544.4801371303215</v>
      </c>
      <c r="P183" s="140">
        <f t="shared" si="50"/>
        <v>539.4185674225882</v>
      </c>
      <c r="Q183" s="140">
        <f t="shared" si="50"/>
        <v>533.962589685681</v>
      </c>
      <c r="R183" s="140">
        <f t="shared" si="50"/>
        <v>528.0814708264172</v>
      </c>
    </row>
    <row r="184" spans="2:18" ht="12.75">
      <c r="B184" s="10" t="str">
        <f>B147</f>
        <v>Interest Income on Cash Balance</v>
      </c>
      <c r="C184" s="266"/>
      <c r="D184" s="10"/>
      <c r="E184" s="10"/>
      <c r="F184" s="10"/>
      <c r="G184" s="10"/>
      <c r="H184" s="10"/>
      <c r="I184" s="143">
        <f aca="true" t="shared" si="51" ref="I184:R184">I147</f>
        <v>40.5275</v>
      </c>
      <c r="J184" s="143">
        <f t="shared" si="51"/>
        <v>46.762499999999996</v>
      </c>
      <c r="K184" s="143">
        <f t="shared" si="51"/>
        <v>52.997499999999995</v>
      </c>
      <c r="L184" s="143">
        <f t="shared" si="51"/>
        <v>59.232499999999995</v>
      </c>
      <c r="M184" s="143">
        <f t="shared" si="51"/>
        <v>65.46749999999999</v>
      </c>
      <c r="N184" s="143">
        <f t="shared" si="51"/>
        <v>71.70249999999999</v>
      </c>
      <c r="O184" s="143">
        <f t="shared" si="51"/>
        <v>77.93749999999999</v>
      </c>
      <c r="P184" s="143">
        <f t="shared" si="51"/>
        <v>77.9375</v>
      </c>
      <c r="Q184" s="143">
        <f t="shared" si="51"/>
        <v>77.9375</v>
      </c>
      <c r="R184" s="143">
        <f t="shared" si="51"/>
        <v>77.9375</v>
      </c>
    </row>
    <row r="185" spans="2:18" ht="12.75">
      <c r="B185" s="96" t="s">
        <v>258</v>
      </c>
      <c r="C185" s="96"/>
      <c r="D185" s="96"/>
      <c r="E185" s="96"/>
      <c r="F185" s="214"/>
      <c r="G185" s="96"/>
      <c r="H185" s="137"/>
      <c r="I185" s="214">
        <f>I181-I183+I184</f>
        <v>44.6951651403966</v>
      </c>
      <c r="J185" s="214">
        <f aca="true" t="shared" si="52" ref="J185:R185">J181-J183+J184</f>
        <v>47.23541378191653</v>
      </c>
      <c r="K185" s="214">
        <f t="shared" si="52"/>
        <v>49.60180966102694</v>
      </c>
      <c r="L185" s="214">
        <f t="shared" si="52"/>
        <v>52.152600024223865</v>
      </c>
      <c r="M185" s="214">
        <f t="shared" si="52"/>
        <v>54.90215327286468</v>
      </c>
      <c r="N185" s="214">
        <f t="shared" si="52"/>
        <v>57.865957423996974</v>
      </c>
      <c r="O185" s="214">
        <f t="shared" si="52"/>
        <v>64.95681124924339</v>
      </c>
      <c r="P185" s="214">
        <f t="shared" si="52"/>
        <v>70.01838095697667</v>
      </c>
      <c r="Q185" s="214">
        <f t="shared" si="52"/>
        <v>75.47435869388391</v>
      </c>
      <c r="R185" s="214">
        <f t="shared" si="52"/>
        <v>81.3554775531477</v>
      </c>
    </row>
    <row r="186" spans="6:18" ht="12.75">
      <c r="F186" s="140"/>
      <c r="H186" s="8"/>
      <c r="I186" s="140"/>
      <c r="J186" s="140"/>
      <c r="K186" s="140"/>
      <c r="L186" s="140"/>
      <c r="M186" s="140"/>
      <c r="N186" s="140"/>
      <c r="O186" s="140"/>
      <c r="P186" s="140"/>
      <c r="Q186" s="140"/>
      <c r="R186" s="140"/>
    </row>
    <row r="187" spans="2:18" ht="12.75">
      <c r="B187" s="1" t="str">
        <f>B140</f>
        <v>Assumed Debt</v>
      </c>
      <c r="F187" s="140"/>
      <c r="H187" s="8"/>
      <c r="I187" s="140">
        <f aca="true" t="shared" si="53" ref="I187:R187">IF(I185&gt;0,-MIN(I185,H236),-I185)</f>
        <v>-44.6951651403966</v>
      </c>
      <c r="J187" s="140">
        <f t="shared" si="53"/>
        <v>-47.23541378191653</v>
      </c>
      <c r="K187" s="140">
        <f t="shared" si="53"/>
        <v>-49.60180966102694</v>
      </c>
      <c r="L187" s="140">
        <f t="shared" si="53"/>
        <v>-52.152600024223865</v>
      </c>
      <c r="M187" s="140">
        <f t="shared" si="53"/>
        <v>-54.90215327286468</v>
      </c>
      <c r="N187" s="140">
        <f t="shared" si="53"/>
        <v>-57.865957423996974</v>
      </c>
      <c r="O187" s="140">
        <f t="shared" si="53"/>
        <v>-64.95681124924339</v>
      </c>
      <c r="P187" s="140">
        <f t="shared" si="53"/>
        <v>-70.01838095697667</v>
      </c>
      <c r="Q187" s="140">
        <f t="shared" si="53"/>
        <v>-75.47435869388391</v>
      </c>
      <c r="R187" s="140">
        <f t="shared" si="53"/>
        <v>-81.3554775531477</v>
      </c>
    </row>
    <row r="188" spans="2:18" ht="12.75">
      <c r="B188" s="1" t="str">
        <f>B141</f>
        <v>Senior Secured Credit Facility</v>
      </c>
      <c r="F188" s="140"/>
      <c r="H188" s="8"/>
      <c r="I188" s="140">
        <f aca="true" t="shared" si="54" ref="I188:R188">IF(I185-I187&gt;0,-MIN(I185+I187,H237),0)</f>
        <v>0</v>
      </c>
      <c r="J188" s="140">
        <f t="shared" si="54"/>
        <v>0</v>
      </c>
      <c r="K188" s="140">
        <f t="shared" si="54"/>
        <v>0</v>
      </c>
      <c r="L188" s="140">
        <f t="shared" si="54"/>
        <v>0</v>
      </c>
      <c r="M188" s="140">
        <f t="shared" si="54"/>
        <v>0</v>
      </c>
      <c r="N188" s="140">
        <f t="shared" si="54"/>
        <v>0</v>
      </c>
      <c r="O188" s="140">
        <f t="shared" si="54"/>
        <v>0</v>
      </c>
      <c r="P188" s="140">
        <f t="shared" si="54"/>
        <v>0</v>
      </c>
      <c r="Q188" s="140">
        <f t="shared" si="54"/>
        <v>0</v>
      </c>
      <c r="R188" s="140">
        <f t="shared" si="54"/>
        <v>0</v>
      </c>
    </row>
    <row r="189" spans="6:18" ht="12.75">
      <c r="F189" s="140"/>
      <c r="H189" s="8"/>
      <c r="I189" s="140"/>
      <c r="J189" s="140"/>
      <c r="K189" s="140"/>
      <c r="L189" s="140"/>
      <c r="M189" s="140"/>
      <c r="N189" s="140"/>
      <c r="O189" s="140"/>
      <c r="P189" s="140"/>
      <c r="Q189" s="140"/>
      <c r="R189" s="140"/>
    </row>
    <row r="190" spans="2:18" ht="12.75">
      <c r="B190" s="1" t="s">
        <v>259</v>
      </c>
      <c r="I190" s="140">
        <f aca="true" t="shared" si="55" ref="I190:R190">I185+SUM(I187:I188)</f>
        <v>0</v>
      </c>
      <c r="J190" s="140">
        <f t="shared" si="55"/>
        <v>0</v>
      </c>
      <c r="K190" s="140">
        <f t="shared" si="55"/>
        <v>0</v>
      </c>
      <c r="L190" s="140">
        <f t="shared" si="55"/>
        <v>0</v>
      </c>
      <c r="M190" s="140">
        <f t="shared" si="55"/>
        <v>0</v>
      </c>
      <c r="N190" s="140">
        <f t="shared" si="55"/>
        <v>0</v>
      </c>
      <c r="O190" s="140">
        <f t="shared" si="55"/>
        <v>0</v>
      </c>
      <c r="P190" s="140">
        <f t="shared" si="55"/>
        <v>0</v>
      </c>
      <c r="Q190" s="140">
        <f t="shared" si="55"/>
        <v>0</v>
      </c>
      <c r="R190" s="140">
        <f t="shared" si="55"/>
        <v>0</v>
      </c>
    </row>
    <row r="191" spans="2:18" ht="12.75">
      <c r="B191" s="10" t="s">
        <v>260</v>
      </c>
      <c r="C191" s="266"/>
      <c r="D191" s="10"/>
      <c r="E191" s="10"/>
      <c r="F191" s="10"/>
      <c r="G191" s="10"/>
      <c r="H191" s="10"/>
      <c r="I191" s="143">
        <f>'Case Manager'!$G$67</f>
        <v>1247</v>
      </c>
      <c r="J191" s="143">
        <f>'Case Manager'!$G$67</f>
        <v>1247</v>
      </c>
      <c r="K191" s="143">
        <f>'Case Manager'!$G$67</f>
        <v>1247</v>
      </c>
      <c r="L191" s="143">
        <f>'Case Manager'!$G$67</f>
        <v>1247</v>
      </c>
      <c r="M191" s="143">
        <f>'Case Manager'!$G$67</f>
        <v>1247</v>
      </c>
      <c r="N191" s="143">
        <f>'Case Manager'!$G$67</f>
        <v>1247</v>
      </c>
      <c r="O191" s="143">
        <f>'Case Manager'!$G$67</f>
        <v>1247</v>
      </c>
      <c r="P191" s="143">
        <f>'Case Manager'!$G$67</f>
        <v>1247</v>
      </c>
      <c r="Q191" s="143">
        <f>'Case Manager'!$G$67</f>
        <v>1247</v>
      </c>
      <c r="R191" s="143">
        <f>'Case Manager'!$G$67</f>
        <v>1247</v>
      </c>
    </row>
    <row r="192" spans="2:18" ht="12.75">
      <c r="B192" s="96" t="s">
        <v>261</v>
      </c>
      <c r="C192" s="96"/>
      <c r="D192" s="96"/>
      <c r="E192" s="96"/>
      <c r="F192" s="214"/>
      <c r="G192" s="96"/>
      <c r="H192" s="137"/>
      <c r="I192" s="214">
        <f>I190+I191</f>
        <v>1247</v>
      </c>
      <c r="J192" s="214">
        <f aca="true" t="shared" si="56" ref="J192:R192">J190+J191</f>
        <v>1247</v>
      </c>
      <c r="K192" s="214">
        <f t="shared" si="56"/>
        <v>1247</v>
      </c>
      <c r="L192" s="214">
        <f t="shared" si="56"/>
        <v>1247</v>
      </c>
      <c r="M192" s="214">
        <f t="shared" si="56"/>
        <v>1247</v>
      </c>
      <c r="N192" s="214">
        <f t="shared" si="56"/>
        <v>1247</v>
      </c>
      <c r="O192" s="214">
        <f t="shared" si="56"/>
        <v>1247</v>
      </c>
      <c r="P192" s="214">
        <f t="shared" si="56"/>
        <v>1247</v>
      </c>
      <c r="Q192" s="214">
        <f t="shared" si="56"/>
        <v>1247</v>
      </c>
      <c r="R192" s="214">
        <f t="shared" si="56"/>
        <v>1247</v>
      </c>
    </row>
    <row r="193" spans="2:18" ht="12.75">
      <c r="B193" s="96"/>
      <c r="C193" s="96"/>
      <c r="D193" s="96"/>
      <c r="E193" s="96"/>
      <c r="F193" s="214"/>
      <c r="G193" s="96"/>
      <c r="H193" s="137"/>
      <c r="I193" s="214"/>
      <c r="J193" s="214"/>
      <c r="K193" s="214"/>
      <c r="L193" s="214"/>
      <c r="M193" s="214"/>
      <c r="N193" s="214"/>
      <c r="O193" s="214"/>
      <c r="P193" s="214"/>
      <c r="Q193" s="214"/>
      <c r="R193" s="214"/>
    </row>
    <row r="194" spans="2:18" ht="12.75">
      <c r="B194" s="96" t="s">
        <v>307</v>
      </c>
      <c r="C194" s="96"/>
      <c r="D194" s="96"/>
      <c r="E194" s="96"/>
      <c r="F194" s="214"/>
      <c r="G194" s="96"/>
      <c r="H194" s="137"/>
      <c r="I194" s="214"/>
      <c r="J194" s="214"/>
      <c r="K194" s="214"/>
      <c r="L194" s="214"/>
      <c r="M194" s="214"/>
      <c r="N194" s="214"/>
      <c r="O194" s="214"/>
      <c r="P194" s="214"/>
      <c r="Q194" s="214"/>
      <c r="R194" s="214"/>
    </row>
    <row r="195" spans="2:18" ht="12.75">
      <c r="B195" s="1" t="s">
        <v>306</v>
      </c>
      <c r="C195" s="96"/>
      <c r="D195" s="96"/>
      <c r="E195" s="96"/>
      <c r="F195" s="214"/>
      <c r="G195" s="96"/>
      <c r="H195" s="205">
        <f>H241/H124</f>
        <v>8.605128205128205</v>
      </c>
      <c r="I195" s="205">
        <f aca="true" t="shared" si="57" ref="I195:R195">I241/I124</f>
        <v>8.340514403515883</v>
      </c>
      <c r="J195" s="205">
        <f t="shared" si="57"/>
        <v>8.28142491252032</v>
      </c>
      <c r="K195" s="205">
        <f t="shared" si="57"/>
        <v>8.219375161059245</v>
      </c>
      <c r="L195" s="205">
        <f t="shared" si="57"/>
        <v>8.154134479486</v>
      </c>
      <c r="M195" s="205">
        <f t="shared" si="57"/>
        <v>8.085454223895734</v>
      </c>
      <c r="N195" s="205">
        <f t="shared" si="57"/>
        <v>8.01306637553388</v>
      </c>
      <c r="O195" s="205">
        <f t="shared" si="57"/>
        <v>7.931808171019494</v>
      </c>
      <c r="P195" s="205">
        <f t="shared" si="57"/>
        <v>7.84421815836113</v>
      </c>
      <c r="Q195" s="205">
        <f t="shared" si="57"/>
        <v>7.7498029499112056</v>
      </c>
      <c r="R195" s="205">
        <f t="shared" si="57"/>
        <v>7.648030712231415</v>
      </c>
    </row>
    <row r="196" spans="2:18" ht="12.75">
      <c r="B196" s="1" t="s">
        <v>303</v>
      </c>
      <c r="C196" s="96"/>
      <c r="D196" s="96"/>
      <c r="E196" s="96"/>
      <c r="F196" s="214"/>
      <c r="G196" s="96"/>
      <c r="H196" s="310">
        <f>(H241-H217)/H124</f>
        <v>7.006410256410256</v>
      </c>
      <c r="I196" s="310">
        <f aca="true" t="shared" si="58" ref="I196:R196">(I241-I217)/I124</f>
        <v>6.780570510324547</v>
      </c>
      <c r="J196" s="310">
        <f t="shared" si="58"/>
        <v>6.7214810193289845</v>
      </c>
      <c r="K196" s="310">
        <f t="shared" si="58"/>
        <v>6.659431267867911</v>
      </c>
      <c r="L196" s="310">
        <f t="shared" si="58"/>
        <v>6.5941905862946655</v>
      </c>
      <c r="M196" s="310">
        <f t="shared" si="58"/>
        <v>6.5255103307044</v>
      </c>
      <c r="N196" s="310">
        <f t="shared" si="58"/>
        <v>6.453122482342544</v>
      </c>
      <c r="O196" s="310">
        <f t="shared" si="58"/>
        <v>6.371864277828158</v>
      </c>
      <c r="P196" s="310">
        <f t="shared" si="58"/>
        <v>6.2842742651697945</v>
      </c>
      <c r="Q196" s="310">
        <f t="shared" si="58"/>
        <v>6.18985905671987</v>
      </c>
      <c r="R196" s="310">
        <f t="shared" si="58"/>
        <v>6.088086819040079</v>
      </c>
    </row>
    <row r="197" spans="2:18" ht="12.75">
      <c r="B197" s="1" t="s">
        <v>304</v>
      </c>
      <c r="C197" s="96"/>
      <c r="D197" s="96"/>
      <c r="E197" s="96"/>
      <c r="F197" s="214"/>
      <c r="G197" s="96"/>
      <c r="H197" s="310"/>
      <c r="I197" s="205">
        <f>I168/I183</f>
        <v>1.5169397906977073</v>
      </c>
      <c r="J197" s="205">
        <f aca="true" t="shared" si="59" ref="J197:R197">J168/J183</f>
        <v>1.50536305246221</v>
      </c>
      <c r="K197" s="205">
        <f t="shared" si="59"/>
        <v>1.4944755844584023</v>
      </c>
      <c r="L197" s="205">
        <f t="shared" si="59"/>
        <v>1.4842524643795465</v>
      </c>
      <c r="M197" s="205">
        <f t="shared" si="59"/>
        <v>1.4747088028526063</v>
      </c>
      <c r="N197" s="205">
        <f t="shared" si="59"/>
        <v>1.4658627677583023</v>
      </c>
      <c r="O197" s="205">
        <f t="shared" si="59"/>
        <v>1.4681669183994706</v>
      </c>
      <c r="P197" s="205">
        <f t="shared" si="59"/>
        <v>1.481943287343488</v>
      </c>
      <c r="Q197" s="205">
        <f t="shared" si="59"/>
        <v>1.4970856395218768</v>
      </c>
      <c r="R197" s="205">
        <f t="shared" si="59"/>
        <v>1.5137583293906323</v>
      </c>
    </row>
    <row r="198" spans="2:18" ht="13.5" thickBot="1">
      <c r="B198" s="327" t="s">
        <v>305</v>
      </c>
      <c r="C198" s="98"/>
      <c r="D198" s="98"/>
      <c r="E198" s="98"/>
      <c r="F198" s="328"/>
      <c r="G198" s="98"/>
      <c r="H198" s="329"/>
      <c r="I198" s="329">
        <f>I170/I183</f>
        <v>1.008587743725963</v>
      </c>
      <c r="J198" s="329">
        <f aca="true" t="shared" si="60" ref="J198:R198">J170/J183</f>
        <v>1.0008905652563573</v>
      </c>
      <c r="K198" s="329">
        <f t="shared" si="60"/>
        <v>0.9936516709665596</v>
      </c>
      <c r="L198" s="329">
        <f t="shared" si="60"/>
        <v>0.9868544904341467</v>
      </c>
      <c r="M198" s="329">
        <f t="shared" si="60"/>
        <v>0.9805090704607452</v>
      </c>
      <c r="N198" s="329">
        <f t="shared" si="60"/>
        <v>0.974627490564564</v>
      </c>
      <c r="O198" s="329">
        <f t="shared" si="60"/>
        <v>0.9761594815576354</v>
      </c>
      <c r="P198" s="329">
        <f t="shared" si="60"/>
        <v>0.9853191574756837</v>
      </c>
      <c r="Q198" s="329">
        <f t="shared" si="60"/>
        <v>0.9953870526630602</v>
      </c>
      <c r="R198" s="329">
        <f t="shared" si="60"/>
        <v>1.0064724436322274</v>
      </c>
    </row>
    <row r="199" spans="2:18" ht="12.75">
      <c r="B199" s="198"/>
      <c r="C199" s="137"/>
      <c r="D199" s="137"/>
      <c r="E199" s="137"/>
      <c r="F199" s="333"/>
      <c r="G199" s="137"/>
      <c r="H199" s="310"/>
      <c r="I199" s="310"/>
      <c r="J199" s="310"/>
      <c r="K199" s="310"/>
      <c r="L199" s="310"/>
      <c r="M199" s="310"/>
      <c r="N199" s="310"/>
      <c r="O199" s="310"/>
      <c r="P199" s="310"/>
      <c r="Q199" s="310"/>
      <c r="R199" s="310"/>
    </row>
    <row r="200" spans="2:18" ht="13.5" thickBot="1">
      <c r="B200" s="98" t="s">
        <v>311</v>
      </c>
      <c r="C200" s="98"/>
      <c r="D200" s="98"/>
      <c r="E200" s="98"/>
      <c r="F200" s="328"/>
      <c r="G200" s="98"/>
      <c r="H200" s="329"/>
      <c r="I200" s="329"/>
      <c r="J200" s="329"/>
      <c r="K200" s="329"/>
      <c r="L200" s="329"/>
      <c r="M200" s="329"/>
      <c r="N200" s="329"/>
      <c r="O200" s="329"/>
      <c r="P200" s="329"/>
      <c r="Q200" s="329"/>
      <c r="R200" s="329"/>
    </row>
    <row r="201" spans="2:18" ht="12.75">
      <c r="B201" s="8" t="s">
        <v>312</v>
      </c>
      <c r="C201" s="137"/>
      <c r="D201" s="137"/>
      <c r="E201" s="137"/>
      <c r="F201" s="333"/>
      <c r="G201" s="137"/>
      <c r="H201" s="310"/>
      <c r="I201" s="302">
        <v>0</v>
      </c>
      <c r="J201" s="140">
        <f aca="true" t="shared" si="61" ref="J201:R201">I204</f>
        <v>35.32427389359961</v>
      </c>
      <c r="K201" s="140">
        <f t="shared" si="61"/>
        <v>68.46615107761247</v>
      </c>
      <c r="L201" s="140">
        <f t="shared" si="61"/>
        <v>99.2416323825149</v>
      </c>
      <c r="M201" s="140">
        <f t="shared" si="61"/>
        <v>127.46632332422041</v>
      </c>
      <c r="N201" s="140">
        <f t="shared" si="61"/>
        <v>152.94146101728512</v>
      </c>
      <c r="O201" s="140">
        <f t="shared" si="61"/>
        <v>175.45279455921752</v>
      </c>
      <c r="P201" s="140">
        <f t="shared" si="61"/>
        <v>190.8732742759035</v>
      </c>
      <c r="Q201" s="140">
        <f t="shared" si="61"/>
        <v>201.2321842848562</v>
      </c>
      <c r="R201" s="140">
        <f t="shared" si="61"/>
        <v>206.13511655690166</v>
      </c>
    </row>
    <row r="202" spans="2:18" ht="12.75">
      <c r="B202" s="8" t="s">
        <v>313</v>
      </c>
      <c r="C202" s="137"/>
      <c r="D202" s="137"/>
      <c r="E202" s="137"/>
      <c r="F202" s="333"/>
      <c r="G202" s="137"/>
      <c r="H202" s="310"/>
      <c r="I202" s="141">
        <f aca="true" t="shared" si="62" ref="I202:R202">IF(I149&lt;0,-I149,0)</f>
        <v>35.32427389359961</v>
      </c>
      <c r="J202" s="141">
        <f t="shared" si="62"/>
        <v>33.14187718401285</v>
      </c>
      <c r="K202" s="141">
        <f t="shared" si="62"/>
        <v>30.775481304902435</v>
      </c>
      <c r="L202" s="141">
        <f t="shared" si="62"/>
        <v>28.22469094170551</v>
      </c>
      <c r="M202" s="141">
        <f t="shared" si="62"/>
        <v>25.475137693064696</v>
      </c>
      <c r="N202" s="141">
        <f t="shared" si="62"/>
        <v>22.5113335419324</v>
      </c>
      <c r="O202" s="141">
        <f t="shared" si="62"/>
        <v>15.420479716685989</v>
      </c>
      <c r="P202" s="141">
        <f t="shared" si="62"/>
        <v>10.358910008952705</v>
      </c>
      <c r="Q202" s="141">
        <f t="shared" si="62"/>
        <v>4.902932272045462</v>
      </c>
      <c r="R202" s="141">
        <f t="shared" si="62"/>
        <v>0</v>
      </c>
    </row>
    <row r="203" spans="2:18" ht="12.75">
      <c r="B203" s="10" t="s">
        <v>314</v>
      </c>
      <c r="C203" s="334"/>
      <c r="D203" s="334"/>
      <c r="E203" s="334"/>
      <c r="F203" s="335"/>
      <c r="G203" s="334"/>
      <c r="H203" s="336"/>
      <c r="I203" s="143">
        <f aca="true" t="shared" si="63" ref="I203:R203">IF(I149&gt;0,MIN(I149,I201),0)</f>
        <v>0</v>
      </c>
      <c r="J203" s="143">
        <f t="shared" si="63"/>
        <v>0</v>
      </c>
      <c r="K203" s="143">
        <f t="shared" si="63"/>
        <v>0</v>
      </c>
      <c r="L203" s="143">
        <f t="shared" si="63"/>
        <v>0</v>
      </c>
      <c r="M203" s="143">
        <f t="shared" si="63"/>
        <v>0</v>
      </c>
      <c r="N203" s="143">
        <f t="shared" si="63"/>
        <v>0</v>
      </c>
      <c r="O203" s="143">
        <f t="shared" si="63"/>
        <v>0</v>
      </c>
      <c r="P203" s="143">
        <f t="shared" si="63"/>
        <v>0</v>
      </c>
      <c r="Q203" s="143">
        <f t="shared" si="63"/>
        <v>0</v>
      </c>
      <c r="R203" s="143">
        <f t="shared" si="63"/>
        <v>0.9781865872183175</v>
      </c>
    </row>
    <row r="204" spans="2:18" ht="13.5" thickBot="1">
      <c r="B204" s="4" t="s">
        <v>315</v>
      </c>
      <c r="C204" s="98"/>
      <c r="D204" s="98"/>
      <c r="E204" s="98"/>
      <c r="F204" s="328"/>
      <c r="G204" s="98"/>
      <c r="H204" s="329"/>
      <c r="I204" s="116">
        <f>I201+I202-I203</f>
        <v>35.32427389359961</v>
      </c>
      <c r="J204" s="116">
        <f aca="true" t="shared" si="64" ref="J204:R204">J201+J202-J203</f>
        <v>68.46615107761247</v>
      </c>
      <c r="K204" s="116">
        <f t="shared" si="64"/>
        <v>99.2416323825149</v>
      </c>
      <c r="L204" s="116">
        <f t="shared" si="64"/>
        <v>127.46632332422041</v>
      </c>
      <c r="M204" s="116">
        <f t="shared" si="64"/>
        <v>152.94146101728512</v>
      </c>
      <c r="N204" s="116">
        <f t="shared" si="64"/>
        <v>175.45279455921752</v>
      </c>
      <c r="O204" s="116">
        <f t="shared" si="64"/>
        <v>190.8732742759035</v>
      </c>
      <c r="P204" s="116">
        <f t="shared" si="64"/>
        <v>201.2321842848562</v>
      </c>
      <c r="Q204" s="116">
        <f t="shared" si="64"/>
        <v>206.13511655690166</v>
      </c>
      <c r="R204" s="116">
        <f t="shared" si="64"/>
        <v>205.15692996968335</v>
      </c>
    </row>
    <row r="205" spans="2:18" ht="12.75">
      <c r="B205" s="198"/>
      <c r="C205" s="137"/>
      <c r="D205" s="137"/>
      <c r="E205" s="137"/>
      <c r="F205" s="333"/>
      <c r="G205" s="137"/>
      <c r="H205" s="310"/>
      <c r="I205" s="310"/>
      <c r="J205" s="310"/>
      <c r="K205" s="310"/>
      <c r="L205" s="310"/>
      <c r="M205" s="310"/>
      <c r="N205" s="310"/>
      <c r="O205" s="310"/>
      <c r="P205" s="310"/>
      <c r="Q205" s="310"/>
      <c r="R205" s="310"/>
    </row>
    <row r="206" spans="2:18" ht="12.75">
      <c r="B206" s="96"/>
      <c r="C206" s="96"/>
      <c r="D206" s="96"/>
      <c r="E206" s="96"/>
      <c r="F206" s="214"/>
      <c r="G206" s="96"/>
      <c r="H206" s="137"/>
      <c r="I206" s="214"/>
      <c r="J206" s="214"/>
      <c r="K206" s="214"/>
      <c r="L206" s="214"/>
      <c r="M206" s="214"/>
      <c r="N206" s="214"/>
      <c r="O206" s="214"/>
      <c r="P206" s="214"/>
      <c r="Q206" s="214"/>
      <c r="R206" s="214"/>
    </row>
    <row r="209" spans="1:18" ht="15.75">
      <c r="A209" s="76" t="s">
        <v>203</v>
      </c>
      <c r="B209" s="190" t="s">
        <v>214</v>
      </c>
      <c r="C209" s="190"/>
      <c r="D209" s="190"/>
      <c r="E209" s="190"/>
      <c r="F209" s="190"/>
      <c r="G209" s="190"/>
      <c r="H209" s="190"/>
      <c r="I209" s="190"/>
      <c r="J209" s="190"/>
      <c r="K209" s="190"/>
      <c r="L209" s="190"/>
      <c r="M209" s="190"/>
      <c r="N209" s="190"/>
      <c r="O209" s="190"/>
      <c r="P209" s="190"/>
      <c r="Q209" s="190"/>
      <c r="R209" s="190"/>
    </row>
    <row r="210" ht="12.75">
      <c r="B210" s="231" t="str">
        <f>'Case Manager'!$K$5</f>
        <v>($ in millions)</v>
      </c>
    </row>
    <row r="212" spans="2:14" ht="13.5">
      <c r="B212" s="2" t="str">
        <f>'Case Manager'!$D$65</f>
        <v>Base Case</v>
      </c>
      <c r="N212" s="76"/>
    </row>
    <row r="213" spans="2:18" ht="14.25" thickBot="1">
      <c r="B213" s="3"/>
      <c r="C213" s="4"/>
      <c r="D213" s="4"/>
      <c r="E213" s="4"/>
      <c r="F213" s="4"/>
      <c r="G213" s="4"/>
      <c r="H213" s="4"/>
      <c r="I213" s="4"/>
      <c r="J213" s="4"/>
      <c r="K213" s="4"/>
      <c r="L213" s="4"/>
      <c r="M213" s="4"/>
      <c r="N213" s="4"/>
      <c r="O213" s="4"/>
      <c r="P213" s="4"/>
      <c r="Q213" s="4"/>
      <c r="R213" s="4"/>
    </row>
    <row r="214" spans="2:18" ht="13.5">
      <c r="B214" s="5" t="str">
        <f>'Case Manager'!$K$6</f>
        <v>For the FYE January 31</v>
      </c>
      <c r="F214" s="12" t="str">
        <f>'Summary of Consolidated Fins'!$F$7</f>
        <v>Actual</v>
      </c>
      <c r="G214" s="13"/>
      <c r="H214" s="14"/>
      <c r="I214" s="12" t="str">
        <f>'Summary of Consolidated Fins'!$I$7</f>
        <v>Projected</v>
      </c>
      <c r="J214" s="12"/>
      <c r="K214" s="12"/>
      <c r="L214" s="13"/>
      <c r="M214" s="6"/>
      <c r="N214" s="6"/>
      <c r="O214" s="6"/>
      <c r="P214" s="6"/>
      <c r="Q214" s="6"/>
      <c r="R214" s="6"/>
    </row>
    <row r="215" spans="2:18" ht="12.75">
      <c r="B215" s="7"/>
      <c r="C215" s="7"/>
      <c r="D215" s="7"/>
      <c r="E215" s="7"/>
      <c r="F215" s="15">
        <f>'Summary of Consolidated Fins'!$F$8</f>
        <v>2003</v>
      </c>
      <c r="G215" s="15">
        <f>'Summary of Consolidated Fins'!$G$8</f>
        <v>2004</v>
      </c>
      <c r="H215" s="16">
        <f>'Summary of Consolidated Fins'!$H$8</f>
        <v>2005</v>
      </c>
      <c r="I215" s="15">
        <f>'Summary of Consolidated Fins'!$I$8</f>
        <v>2006</v>
      </c>
      <c r="J215" s="15">
        <f>'Summary of Consolidated Fins'!$J$8</f>
        <v>2007</v>
      </c>
      <c r="K215" s="15">
        <f>'Summary of Consolidated Fins'!$K$8</f>
        <v>2008</v>
      </c>
      <c r="L215" s="15">
        <f>'Summary of Consolidated Fins'!$L$8</f>
        <v>2009</v>
      </c>
      <c r="M215" s="32">
        <f>'Summary of Consolidated Fins'!$M$8</f>
        <v>2010</v>
      </c>
      <c r="N215" s="32">
        <f>M215+1</f>
        <v>2011</v>
      </c>
      <c r="O215" s="32">
        <f>N215+1</f>
        <v>2012</v>
      </c>
      <c r="P215" s="32">
        <f>O215+1</f>
        <v>2013</v>
      </c>
      <c r="Q215" s="32">
        <f>P215+1</f>
        <v>2014</v>
      </c>
      <c r="R215" s="32">
        <f>Q215+1</f>
        <v>2015</v>
      </c>
    </row>
    <row r="216" spans="2:18" ht="12.75">
      <c r="B216" s="85" t="str">
        <f aca="true" t="shared" si="65" ref="B216:B221">B58</f>
        <v>ASSETS</v>
      </c>
      <c r="C216" s="8"/>
      <c r="D216" s="8"/>
      <c r="E216" s="8"/>
      <c r="F216" s="100"/>
      <c r="G216" s="100"/>
      <c r="H216" s="261"/>
      <c r="I216" s="100"/>
      <c r="J216" s="100"/>
      <c r="K216" s="100"/>
      <c r="L216" s="100"/>
      <c r="M216" s="100"/>
      <c r="N216" s="100"/>
      <c r="O216" s="100"/>
      <c r="P216" s="100"/>
      <c r="Q216" s="100"/>
      <c r="R216" s="100"/>
    </row>
    <row r="217" spans="2:18" ht="12.75">
      <c r="B217" s="1" t="str">
        <f t="shared" si="65"/>
        <v>Cash and Cash Equivalents</v>
      </c>
      <c r="H217" s="207">
        <f>L59</f>
        <v>1247</v>
      </c>
      <c r="I217" s="258">
        <f>I192</f>
        <v>1247</v>
      </c>
      <c r="J217" s="258">
        <f aca="true" t="shared" si="66" ref="J217:R217">J192</f>
        <v>1247</v>
      </c>
      <c r="K217" s="258">
        <f t="shared" si="66"/>
        <v>1247</v>
      </c>
      <c r="L217" s="258">
        <f t="shared" si="66"/>
        <v>1247</v>
      </c>
      <c r="M217" s="258">
        <f t="shared" si="66"/>
        <v>1247</v>
      </c>
      <c r="N217" s="258">
        <f t="shared" si="66"/>
        <v>1247</v>
      </c>
      <c r="O217" s="258">
        <f t="shared" si="66"/>
        <v>1247</v>
      </c>
      <c r="P217" s="258">
        <f t="shared" si="66"/>
        <v>1247</v>
      </c>
      <c r="Q217" s="258">
        <f t="shared" si="66"/>
        <v>1247</v>
      </c>
      <c r="R217" s="258">
        <f t="shared" si="66"/>
        <v>1247</v>
      </c>
    </row>
    <row r="218" spans="2:18" ht="12.75">
      <c r="B218" s="1" t="str">
        <f t="shared" si="65"/>
        <v>Accounts and Other Receivables</v>
      </c>
      <c r="H218" s="208">
        <f>L60</f>
        <v>153</v>
      </c>
      <c r="I218" s="141">
        <f>I277</f>
        <v>152.36768153219106</v>
      </c>
      <c r="J218" s="141">
        <f aca="true" t="shared" si="67" ref="J218:R218">J277</f>
        <v>152.36768153219106</v>
      </c>
      <c r="K218" s="141">
        <f t="shared" si="67"/>
        <v>152.36768153219106</v>
      </c>
      <c r="L218" s="141">
        <f t="shared" si="67"/>
        <v>152.36768153219106</v>
      </c>
      <c r="M218" s="141">
        <f t="shared" si="67"/>
        <v>152.36768153219106</v>
      </c>
      <c r="N218" s="141">
        <f t="shared" si="67"/>
        <v>152.36768153219106</v>
      </c>
      <c r="O218" s="141">
        <f t="shared" si="67"/>
        <v>152.36768153219106</v>
      </c>
      <c r="P218" s="141">
        <f t="shared" si="67"/>
        <v>152.36768153219106</v>
      </c>
      <c r="Q218" s="141">
        <f t="shared" si="67"/>
        <v>152.36768153219106</v>
      </c>
      <c r="R218" s="141">
        <f t="shared" si="67"/>
        <v>152.36768153219106</v>
      </c>
    </row>
    <row r="219" spans="2:18" ht="12.75">
      <c r="B219" s="1" t="str">
        <f t="shared" si="65"/>
        <v>Merchandise Inventories</v>
      </c>
      <c r="H219" s="208">
        <f>L61</f>
        <v>1884</v>
      </c>
      <c r="I219" s="141">
        <f>I280</f>
        <v>1872.0536763360178</v>
      </c>
      <c r="J219" s="141">
        <f aca="true" t="shared" si="68" ref="J219:R219">J280</f>
        <v>1872.0536763360178</v>
      </c>
      <c r="K219" s="141">
        <f t="shared" si="68"/>
        <v>1872.0536763360178</v>
      </c>
      <c r="L219" s="141">
        <f t="shared" si="68"/>
        <v>1872.0536763360178</v>
      </c>
      <c r="M219" s="141">
        <f t="shared" si="68"/>
        <v>1872.0536763360178</v>
      </c>
      <c r="N219" s="141">
        <f t="shared" si="68"/>
        <v>1872.0536763360178</v>
      </c>
      <c r="O219" s="141">
        <f t="shared" si="68"/>
        <v>1872.0536763360178</v>
      </c>
      <c r="P219" s="141">
        <f t="shared" si="68"/>
        <v>1872.0536763360178</v>
      </c>
      <c r="Q219" s="141">
        <f t="shared" si="68"/>
        <v>1872.0536763360178</v>
      </c>
      <c r="R219" s="141">
        <f t="shared" si="68"/>
        <v>1872.0536763360178</v>
      </c>
    </row>
    <row r="220" spans="2:18" ht="12.75">
      <c r="B220" s="10" t="str">
        <f t="shared" si="65"/>
        <v>Other Current Assets</v>
      </c>
      <c r="C220" s="10"/>
      <c r="D220" s="10"/>
      <c r="E220" s="10"/>
      <c r="F220" s="10"/>
      <c r="G220" s="10"/>
      <c r="H220" s="227">
        <f>L62</f>
        <v>167</v>
      </c>
      <c r="I220" s="143">
        <f>I283</f>
        <v>166.30982232598632</v>
      </c>
      <c r="J220" s="143">
        <f aca="true" t="shared" si="69" ref="J220:R220">J283</f>
        <v>166.30982232598632</v>
      </c>
      <c r="K220" s="143">
        <f t="shared" si="69"/>
        <v>166.30982232598632</v>
      </c>
      <c r="L220" s="143">
        <f t="shared" si="69"/>
        <v>166.30982232598632</v>
      </c>
      <c r="M220" s="143">
        <f t="shared" si="69"/>
        <v>166.30982232598632</v>
      </c>
      <c r="N220" s="143">
        <f t="shared" si="69"/>
        <v>166.30982232598632</v>
      </c>
      <c r="O220" s="143">
        <f t="shared" si="69"/>
        <v>166.30982232598632</v>
      </c>
      <c r="P220" s="143">
        <f t="shared" si="69"/>
        <v>166.30982232598632</v>
      </c>
      <c r="Q220" s="143">
        <f t="shared" si="69"/>
        <v>166.30982232598632</v>
      </c>
      <c r="R220" s="143">
        <f t="shared" si="69"/>
        <v>166.30982232598632</v>
      </c>
    </row>
    <row r="221" spans="2:18" ht="12.75">
      <c r="B221" s="1" t="str">
        <f t="shared" si="65"/>
        <v>Total Current Assets</v>
      </c>
      <c r="H221" s="262">
        <f>SUM(H217:H220)</f>
        <v>3451</v>
      </c>
      <c r="I221" s="258">
        <f aca="true" t="shared" si="70" ref="I221:R221">SUM(I217:I220)</f>
        <v>3437.731180194195</v>
      </c>
      <c r="J221" s="258">
        <f t="shared" si="70"/>
        <v>3437.731180194195</v>
      </c>
      <c r="K221" s="258">
        <f t="shared" si="70"/>
        <v>3437.731180194195</v>
      </c>
      <c r="L221" s="258">
        <f t="shared" si="70"/>
        <v>3437.731180194195</v>
      </c>
      <c r="M221" s="258">
        <f t="shared" si="70"/>
        <v>3437.731180194195</v>
      </c>
      <c r="N221" s="258">
        <f t="shared" si="70"/>
        <v>3437.731180194195</v>
      </c>
      <c r="O221" s="258">
        <f t="shared" si="70"/>
        <v>3437.731180194195</v>
      </c>
      <c r="P221" s="258">
        <f t="shared" si="70"/>
        <v>3437.731180194195</v>
      </c>
      <c r="Q221" s="258">
        <f t="shared" si="70"/>
        <v>3437.731180194195</v>
      </c>
      <c r="R221" s="258">
        <f t="shared" si="70"/>
        <v>3437.731180194195</v>
      </c>
    </row>
    <row r="222" ht="12.75">
      <c r="H222" s="28"/>
    </row>
    <row r="223" spans="2:18" ht="12.75">
      <c r="B223" s="1" t="str">
        <f>B65</f>
        <v>Net, PP&amp;E</v>
      </c>
      <c r="H223" s="208">
        <f>L65</f>
        <v>4339</v>
      </c>
      <c r="I223" s="258">
        <f aca="true" t="shared" si="71" ref="I223:R223">H223+I169-I128-I131</f>
        <v>4258.622709034071</v>
      </c>
      <c r="J223" s="258">
        <f t="shared" si="71"/>
        <v>4178.245418068142</v>
      </c>
      <c r="K223" s="258">
        <f t="shared" si="71"/>
        <v>4097.868127102212</v>
      </c>
      <c r="L223" s="258">
        <f t="shared" si="71"/>
        <v>4017.4908361362827</v>
      </c>
      <c r="M223" s="258">
        <f t="shared" si="71"/>
        <v>3937.1135451703535</v>
      </c>
      <c r="N223" s="258">
        <f t="shared" si="71"/>
        <v>3856.7362542044243</v>
      </c>
      <c r="O223" s="258">
        <f t="shared" si="71"/>
        <v>3776.358963238495</v>
      </c>
      <c r="P223" s="258">
        <f t="shared" si="71"/>
        <v>3695.981672272566</v>
      </c>
      <c r="Q223" s="258">
        <f t="shared" si="71"/>
        <v>3615.6043813066367</v>
      </c>
      <c r="R223" s="258">
        <f t="shared" si="71"/>
        <v>3535.2270903407075</v>
      </c>
    </row>
    <row r="224" ht="12.75">
      <c r="H224" s="28"/>
    </row>
    <row r="225" spans="2:18" ht="12.75">
      <c r="B225" s="1" t="str">
        <f>B67</f>
        <v>Goodwill, net</v>
      </c>
      <c r="H225" s="208">
        <f>L67</f>
        <v>0</v>
      </c>
      <c r="I225" s="141">
        <f aca="true" t="shared" si="72" ref="I225:R225">H225</f>
        <v>0</v>
      </c>
      <c r="J225" s="141">
        <f t="shared" si="72"/>
        <v>0</v>
      </c>
      <c r="K225" s="141">
        <f t="shared" si="72"/>
        <v>0</v>
      </c>
      <c r="L225" s="141">
        <f t="shared" si="72"/>
        <v>0</v>
      </c>
      <c r="M225" s="141">
        <f t="shared" si="72"/>
        <v>0</v>
      </c>
      <c r="N225" s="141">
        <f t="shared" si="72"/>
        <v>0</v>
      </c>
      <c r="O225" s="141">
        <f t="shared" si="72"/>
        <v>0</v>
      </c>
      <c r="P225" s="141">
        <f t="shared" si="72"/>
        <v>0</v>
      </c>
      <c r="Q225" s="141">
        <f t="shared" si="72"/>
        <v>0</v>
      </c>
      <c r="R225" s="141">
        <f t="shared" si="72"/>
        <v>0</v>
      </c>
    </row>
    <row r="226" spans="2:18" ht="12.75">
      <c r="B226" s="1" t="str">
        <f>B68</f>
        <v>New Goodwill</v>
      </c>
      <c r="H226" s="208">
        <f>L68</f>
        <v>2684</v>
      </c>
      <c r="I226" s="141">
        <f>H226</f>
        <v>2684</v>
      </c>
      <c r="J226" s="141">
        <f aca="true" t="shared" si="73" ref="J226:R226">I226</f>
        <v>2684</v>
      </c>
      <c r="K226" s="141">
        <f t="shared" si="73"/>
        <v>2684</v>
      </c>
      <c r="L226" s="141">
        <f t="shared" si="73"/>
        <v>2684</v>
      </c>
      <c r="M226" s="141">
        <f t="shared" si="73"/>
        <v>2684</v>
      </c>
      <c r="N226" s="141">
        <f t="shared" si="73"/>
        <v>2684</v>
      </c>
      <c r="O226" s="141">
        <f t="shared" si="73"/>
        <v>2684</v>
      </c>
      <c r="P226" s="141">
        <f t="shared" si="73"/>
        <v>2684</v>
      </c>
      <c r="Q226" s="141">
        <f t="shared" si="73"/>
        <v>2684</v>
      </c>
      <c r="R226" s="141">
        <f t="shared" si="73"/>
        <v>2684</v>
      </c>
    </row>
    <row r="227" spans="2:18" ht="12.75">
      <c r="B227" s="1" t="str">
        <f>B69</f>
        <v>Other Assets</v>
      </c>
      <c r="H227" s="208">
        <f>L69</f>
        <v>669</v>
      </c>
      <c r="I227" s="267">
        <f>H227+I303</f>
        <v>669</v>
      </c>
      <c r="J227" s="267">
        <f aca="true" t="shared" si="74" ref="J227:R227">I227+J303</f>
        <v>669</v>
      </c>
      <c r="K227" s="267">
        <f t="shared" si="74"/>
        <v>669</v>
      </c>
      <c r="L227" s="267">
        <f t="shared" si="74"/>
        <v>669</v>
      </c>
      <c r="M227" s="267">
        <f t="shared" si="74"/>
        <v>669</v>
      </c>
      <c r="N227" s="267">
        <f t="shared" si="74"/>
        <v>669</v>
      </c>
      <c r="O227" s="267">
        <f t="shared" si="74"/>
        <v>669</v>
      </c>
      <c r="P227" s="267">
        <f t="shared" si="74"/>
        <v>669</v>
      </c>
      <c r="Q227" s="267">
        <f t="shared" si="74"/>
        <v>669</v>
      </c>
      <c r="R227" s="267">
        <f t="shared" si="74"/>
        <v>669</v>
      </c>
    </row>
    <row r="228" ht="12.75">
      <c r="H228" s="28"/>
    </row>
    <row r="229" spans="2:18" ht="12.75">
      <c r="B229" s="96" t="str">
        <f>B71</f>
        <v>Total Assets</v>
      </c>
      <c r="H229" s="262">
        <f>H221+H223+H225+H226+H227</f>
        <v>11143</v>
      </c>
      <c r="I229" s="258">
        <f aca="true" t="shared" si="75" ref="I229:R229">I221+I223+I225+I226+I227</f>
        <v>11049.353889228267</v>
      </c>
      <c r="J229" s="258">
        <f t="shared" si="75"/>
        <v>10968.976598262336</v>
      </c>
      <c r="K229" s="258">
        <f t="shared" si="75"/>
        <v>10888.599307296408</v>
      </c>
      <c r="L229" s="258">
        <f t="shared" si="75"/>
        <v>10808.222016330477</v>
      </c>
      <c r="M229" s="258">
        <f t="shared" si="75"/>
        <v>10727.844725364548</v>
      </c>
      <c r="N229" s="258">
        <f t="shared" si="75"/>
        <v>10647.467434398619</v>
      </c>
      <c r="O229" s="258">
        <f t="shared" si="75"/>
        <v>10567.09014343269</v>
      </c>
      <c r="P229" s="258">
        <f t="shared" si="75"/>
        <v>10486.71285246676</v>
      </c>
      <c r="Q229" s="258">
        <f t="shared" si="75"/>
        <v>10406.335561500831</v>
      </c>
      <c r="R229" s="258">
        <f t="shared" si="75"/>
        <v>10325.958270534902</v>
      </c>
    </row>
    <row r="230" ht="12.75">
      <c r="H230" s="28"/>
    </row>
    <row r="231" spans="2:8" ht="12.75">
      <c r="B231" s="85" t="str">
        <f>B73</f>
        <v>LIABILITIES &amp; STOCKHOLDERS' EQUITY</v>
      </c>
      <c r="H231" s="28"/>
    </row>
    <row r="232" spans="2:18" ht="12.75">
      <c r="B232" s="1" t="str">
        <f>B74</f>
        <v>Accounts Payable</v>
      </c>
      <c r="H232" s="262">
        <f>L74</f>
        <v>1023</v>
      </c>
      <c r="I232" s="258">
        <f>I286</f>
        <v>1016.5132223416911</v>
      </c>
      <c r="J232" s="258">
        <f aca="true" t="shared" si="76" ref="J232:R232">J286</f>
        <v>1016.5132223416911</v>
      </c>
      <c r="K232" s="258">
        <f t="shared" si="76"/>
        <v>1016.5132223416911</v>
      </c>
      <c r="L232" s="258">
        <f t="shared" si="76"/>
        <v>1016.5132223416911</v>
      </c>
      <c r="M232" s="258">
        <f t="shared" si="76"/>
        <v>1016.5132223416911</v>
      </c>
      <c r="N232" s="258">
        <f t="shared" si="76"/>
        <v>1016.5132223416911</v>
      </c>
      <c r="O232" s="258">
        <f t="shared" si="76"/>
        <v>1016.5132223416911</v>
      </c>
      <c r="P232" s="258">
        <f t="shared" si="76"/>
        <v>1016.5132223416911</v>
      </c>
      <c r="Q232" s="258">
        <f t="shared" si="76"/>
        <v>1016.5132223416911</v>
      </c>
      <c r="R232" s="258">
        <f t="shared" si="76"/>
        <v>1016.5132223416911</v>
      </c>
    </row>
    <row r="233" spans="2:18" ht="12.75">
      <c r="B233" s="10" t="str">
        <f>B75</f>
        <v>Accrued Expenses &amp; Other Current Liabilities</v>
      </c>
      <c r="C233" s="10"/>
      <c r="D233" s="10"/>
      <c r="E233" s="10"/>
      <c r="F233" s="10"/>
      <c r="G233" s="10"/>
      <c r="H233" s="227">
        <f>L75</f>
        <v>1126</v>
      </c>
      <c r="I233" s="143">
        <f>I289</f>
        <v>1118.860105920571</v>
      </c>
      <c r="J233" s="143">
        <f aca="true" t="shared" si="77" ref="J233:R233">J289</f>
        <v>1118.860105920571</v>
      </c>
      <c r="K233" s="143">
        <f t="shared" si="77"/>
        <v>1118.860105920571</v>
      </c>
      <c r="L233" s="143">
        <f t="shared" si="77"/>
        <v>1118.860105920571</v>
      </c>
      <c r="M233" s="143">
        <f t="shared" si="77"/>
        <v>1118.860105920571</v>
      </c>
      <c r="N233" s="143">
        <f t="shared" si="77"/>
        <v>1118.860105920571</v>
      </c>
      <c r="O233" s="143">
        <f t="shared" si="77"/>
        <v>1118.860105920571</v>
      </c>
      <c r="P233" s="143">
        <f t="shared" si="77"/>
        <v>1118.860105920571</v>
      </c>
      <c r="Q233" s="143">
        <f t="shared" si="77"/>
        <v>1118.860105920571</v>
      </c>
      <c r="R233" s="143">
        <f t="shared" si="77"/>
        <v>1118.860105920571</v>
      </c>
    </row>
    <row r="234" spans="2:18" ht="12.75">
      <c r="B234" s="1" t="str">
        <f>B76</f>
        <v>Total Current Liabilities</v>
      </c>
      <c r="H234" s="262">
        <f>SUM(H232:H233)</f>
        <v>2149</v>
      </c>
      <c r="I234" s="258">
        <f aca="true" t="shared" si="78" ref="I234:R234">SUM(I232:I233)</f>
        <v>2135.373328262262</v>
      </c>
      <c r="J234" s="258">
        <f t="shared" si="78"/>
        <v>2135.373328262262</v>
      </c>
      <c r="K234" s="258">
        <f t="shared" si="78"/>
        <v>2135.373328262262</v>
      </c>
      <c r="L234" s="258">
        <f t="shared" si="78"/>
        <v>2135.373328262262</v>
      </c>
      <c r="M234" s="258">
        <f t="shared" si="78"/>
        <v>2135.373328262262</v>
      </c>
      <c r="N234" s="258">
        <f t="shared" si="78"/>
        <v>2135.373328262262</v>
      </c>
      <c r="O234" s="258">
        <f t="shared" si="78"/>
        <v>2135.373328262262</v>
      </c>
      <c r="P234" s="258">
        <f t="shared" si="78"/>
        <v>2135.373328262262</v>
      </c>
      <c r="Q234" s="258">
        <f t="shared" si="78"/>
        <v>2135.373328262262</v>
      </c>
      <c r="R234" s="258">
        <f t="shared" si="78"/>
        <v>2135.373328262262</v>
      </c>
    </row>
    <row r="235" ht="12.75">
      <c r="H235" s="262"/>
    </row>
    <row r="236" spans="2:18" ht="12.75">
      <c r="B236" s="1" t="str">
        <f aca="true" t="shared" si="79" ref="B236:B241">B78</f>
        <v>Assumed Debt</v>
      </c>
      <c r="H236" s="262">
        <f>L78</f>
        <v>2312</v>
      </c>
      <c r="I236" s="258">
        <f aca="true" t="shared" si="80" ref="I236:R236">H236+I187</f>
        <v>2267.3048348596035</v>
      </c>
      <c r="J236" s="258">
        <f t="shared" si="80"/>
        <v>2220.069421077687</v>
      </c>
      <c r="K236" s="258">
        <f t="shared" si="80"/>
        <v>2170.46761141666</v>
      </c>
      <c r="L236" s="258">
        <f t="shared" si="80"/>
        <v>2118.315011392436</v>
      </c>
      <c r="M236" s="258">
        <f t="shared" si="80"/>
        <v>2063.4128581195714</v>
      </c>
      <c r="N236" s="258">
        <f t="shared" si="80"/>
        <v>2005.5469006955745</v>
      </c>
      <c r="O236" s="258">
        <f t="shared" si="80"/>
        <v>1940.5900894463311</v>
      </c>
      <c r="P236" s="258">
        <f t="shared" si="80"/>
        <v>1870.5717084893545</v>
      </c>
      <c r="Q236" s="258">
        <f t="shared" si="80"/>
        <v>1795.0973497954706</v>
      </c>
      <c r="R236" s="258">
        <f t="shared" si="80"/>
        <v>1713.7418722423229</v>
      </c>
    </row>
    <row r="237" spans="2:18" ht="12.75">
      <c r="B237" s="1" t="str">
        <f t="shared" si="79"/>
        <v>Senior Secured Credit Facility</v>
      </c>
      <c r="H237" s="208">
        <f>L79</f>
        <v>700</v>
      </c>
      <c r="I237" s="267">
        <f aca="true" t="shared" si="81" ref="I237:R237">H237+I188</f>
        <v>700</v>
      </c>
      <c r="J237" s="267">
        <f t="shared" si="81"/>
        <v>700</v>
      </c>
      <c r="K237" s="267">
        <f t="shared" si="81"/>
        <v>700</v>
      </c>
      <c r="L237" s="267">
        <f t="shared" si="81"/>
        <v>700</v>
      </c>
      <c r="M237" s="267">
        <f t="shared" si="81"/>
        <v>700</v>
      </c>
      <c r="N237" s="267">
        <f t="shared" si="81"/>
        <v>700</v>
      </c>
      <c r="O237" s="267">
        <f t="shared" si="81"/>
        <v>700</v>
      </c>
      <c r="P237" s="267">
        <f t="shared" si="81"/>
        <v>700</v>
      </c>
      <c r="Q237" s="267">
        <f t="shared" si="81"/>
        <v>700</v>
      </c>
      <c r="R237" s="267">
        <f t="shared" si="81"/>
        <v>700</v>
      </c>
    </row>
    <row r="238" spans="2:18" ht="12.75">
      <c r="B238" s="1" t="str">
        <f t="shared" si="79"/>
        <v>Unsecured Bridge Loan</v>
      </c>
      <c r="H238" s="208">
        <f>L80</f>
        <v>1900</v>
      </c>
      <c r="I238" s="267">
        <f aca="true" t="shared" si="82" ref="I238:R238">H238</f>
        <v>1900</v>
      </c>
      <c r="J238" s="267">
        <f t="shared" si="82"/>
        <v>1900</v>
      </c>
      <c r="K238" s="267">
        <f t="shared" si="82"/>
        <v>1900</v>
      </c>
      <c r="L238" s="267">
        <f t="shared" si="82"/>
        <v>1900</v>
      </c>
      <c r="M238" s="267">
        <f t="shared" si="82"/>
        <v>1900</v>
      </c>
      <c r="N238" s="267">
        <f t="shared" si="82"/>
        <v>1900</v>
      </c>
      <c r="O238" s="267">
        <f t="shared" si="82"/>
        <v>1900</v>
      </c>
      <c r="P238" s="267">
        <f t="shared" si="82"/>
        <v>1900</v>
      </c>
      <c r="Q238" s="267">
        <f t="shared" si="82"/>
        <v>1900</v>
      </c>
      <c r="R238" s="267">
        <f t="shared" si="82"/>
        <v>1900</v>
      </c>
    </row>
    <row r="239" spans="2:18" ht="12.75">
      <c r="B239" s="1" t="str">
        <f t="shared" si="79"/>
        <v>Secured European Bridge Loan</v>
      </c>
      <c r="H239" s="208">
        <f>L81</f>
        <v>1000</v>
      </c>
      <c r="I239" s="267">
        <f aca="true" t="shared" si="83" ref="I239:R239">H239</f>
        <v>1000</v>
      </c>
      <c r="J239" s="267">
        <f t="shared" si="83"/>
        <v>1000</v>
      </c>
      <c r="K239" s="267">
        <f t="shared" si="83"/>
        <v>1000</v>
      </c>
      <c r="L239" s="267">
        <f t="shared" si="83"/>
        <v>1000</v>
      </c>
      <c r="M239" s="267">
        <f t="shared" si="83"/>
        <v>1000</v>
      </c>
      <c r="N239" s="267">
        <f t="shared" si="83"/>
        <v>1000</v>
      </c>
      <c r="O239" s="267">
        <f t="shared" si="83"/>
        <v>1000</v>
      </c>
      <c r="P239" s="267">
        <f t="shared" si="83"/>
        <v>1000</v>
      </c>
      <c r="Q239" s="267">
        <f t="shared" si="83"/>
        <v>1000</v>
      </c>
      <c r="R239" s="267">
        <f t="shared" si="83"/>
        <v>1000</v>
      </c>
    </row>
    <row r="240" spans="2:18" ht="12.75">
      <c r="B240" s="10" t="str">
        <f t="shared" si="79"/>
        <v>Mortgage Loan Agreements</v>
      </c>
      <c r="C240" s="10"/>
      <c r="D240" s="10"/>
      <c r="E240" s="10"/>
      <c r="F240" s="10"/>
      <c r="G240" s="10"/>
      <c r="H240" s="227">
        <f>L82</f>
        <v>800</v>
      </c>
      <c r="I240" s="268">
        <f aca="true" t="shared" si="84" ref="I240:R240">H240</f>
        <v>800</v>
      </c>
      <c r="J240" s="268">
        <f t="shared" si="84"/>
        <v>800</v>
      </c>
      <c r="K240" s="268">
        <f t="shared" si="84"/>
        <v>800</v>
      </c>
      <c r="L240" s="268">
        <f t="shared" si="84"/>
        <v>800</v>
      </c>
      <c r="M240" s="268">
        <f t="shared" si="84"/>
        <v>800</v>
      </c>
      <c r="N240" s="268">
        <f t="shared" si="84"/>
        <v>800</v>
      </c>
      <c r="O240" s="268">
        <f t="shared" si="84"/>
        <v>800</v>
      </c>
      <c r="P240" s="268">
        <f t="shared" si="84"/>
        <v>800</v>
      </c>
      <c r="Q240" s="268">
        <f t="shared" si="84"/>
        <v>800</v>
      </c>
      <c r="R240" s="268">
        <f t="shared" si="84"/>
        <v>800</v>
      </c>
    </row>
    <row r="241" spans="2:18" ht="12.75">
      <c r="B241" s="1" t="str">
        <f t="shared" si="79"/>
        <v>Total Debt</v>
      </c>
      <c r="H241" s="262">
        <f>SUM(H236:H240)</f>
        <v>6712</v>
      </c>
      <c r="I241" s="258">
        <f aca="true" t="shared" si="85" ref="I241:R241">SUM(I236:I240)</f>
        <v>6667.304834859604</v>
      </c>
      <c r="J241" s="258">
        <f t="shared" si="85"/>
        <v>6620.069421077687</v>
      </c>
      <c r="K241" s="258">
        <f t="shared" si="85"/>
        <v>6570.46761141666</v>
      </c>
      <c r="L241" s="258">
        <f t="shared" si="85"/>
        <v>6518.315011392437</v>
      </c>
      <c r="M241" s="258">
        <f t="shared" si="85"/>
        <v>6463.412858119571</v>
      </c>
      <c r="N241" s="258">
        <f t="shared" si="85"/>
        <v>6405.546900695575</v>
      </c>
      <c r="O241" s="258">
        <f t="shared" si="85"/>
        <v>6340.590089446331</v>
      </c>
      <c r="P241" s="258">
        <f t="shared" si="85"/>
        <v>6270.571708489355</v>
      </c>
      <c r="Q241" s="258">
        <f t="shared" si="85"/>
        <v>6195.097349795471</v>
      </c>
      <c r="R241" s="258">
        <f t="shared" si="85"/>
        <v>6113.741872242323</v>
      </c>
    </row>
    <row r="242" ht="12.75">
      <c r="H242" s="28"/>
    </row>
    <row r="243" spans="2:18" ht="12.75">
      <c r="B243" s="1" t="str">
        <f>B85</f>
        <v>Deferred Income Taxes</v>
      </c>
      <c r="H243" s="208">
        <f>L85</f>
        <v>485</v>
      </c>
      <c r="I243" s="267">
        <f>H243</f>
        <v>485</v>
      </c>
      <c r="J243" s="267">
        <f aca="true" t="shared" si="86" ref="J243:R243">I243</f>
        <v>485</v>
      </c>
      <c r="K243" s="267">
        <f t="shared" si="86"/>
        <v>485</v>
      </c>
      <c r="L243" s="267">
        <f t="shared" si="86"/>
        <v>485</v>
      </c>
      <c r="M243" s="267">
        <f t="shared" si="86"/>
        <v>485</v>
      </c>
      <c r="N243" s="267">
        <f t="shared" si="86"/>
        <v>485</v>
      </c>
      <c r="O243" s="267">
        <f t="shared" si="86"/>
        <v>485</v>
      </c>
      <c r="P243" s="267">
        <f t="shared" si="86"/>
        <v>485</v>
      </c>
      <c r="Q243" s="267">
        <f t="shared" si="86"/>
        <v>485</v>
      </c>
      <c r="R243" s="267">
        <f t="shared" si="86"/>
        <v>485</v>
      </c>
    </row>
    <row r="244" spans="2:18" ht="12.75">
      <c r="B244" s="1" t="str">
        <f>B86</f>
        <v>Other Liabilities</v>
      </c>
      <c r="H244" s="208">
        <f>L86</f>
        <v>497</v>
      </c>
      <c r="I244" s="267">
        <f>H244+I304</f>
        <v>497</v>
      </c>
      <c r="J244" s="267">
        <f aca="true" t="shared" si="87" ref="J244:R244">I244+J304</f>
        <v>497</v>
      </c>
      <c r="K244" s="267">
        <f t="shared" si="87"/>
        <v>497</v>
      </c>
      <c r="L244" s="267">
        <f t="shared" si="87"/>
        <v>497</v>
      </c>
      <c r="M244" s="267">
        <f t="shared" si="87"/>
        <v>497</v>
      </c>
      <c r="N244" s="267">
        <f t="shared" si="87"/>
        <v>497</v>
      </c>
      <c r="O244" s="267">
        <f t="shared" si="87"/>
        <v>497</v>
      </c>
      <c r="P244" s="267">
        <f t="shared" si="87"/>
        <v>497</v>
      </c>
      <c r="Q244" s="267">
        <f t="shared" si="87"/>
        <v>497</v>
      </c>
      <c r="R244" s="267">
        <f t="shared" si="87"/>
        <v>497</v>
      </c>
    </row>
    <row r="245" ht="12.75">
      <c r="H245" s="28"/>
    </row>
    <row r="246" spans="2:18" ht="12.75">
      <c r="B246" s="1" t="str">
        <f>B88</f>
        <v>Total Liabilities</v>
      </c>
      <c r="H246" s="262">
        <f>H241+H243+H244+H234</f>
        <v>9843</v>
      </c>
      <c r="I246" s="258">
        <f aca="true" t="shared" si="88" ref="I246:R246">I241+I243+I244+I234</f>
        <v>9784.678163121866</v>
      </c>
      <c r="J246" s="258">
        <f t="shared" si="88"/>
        <v>9737.442749339949</v>
      </c>
      <c r="K246" s="258">
        <f t="shared" si="88"/>
        <v>9687.840939678921</v>
      </c>
      <c r="L246" s="258">
        <f t="shared" si="88"/>
        <v>9635.688339654698</v>
      </c>
      <c r="M246" s="258">
        <f t="shared" si="88"/>
        <v>9580.786186381833</v>
      </c>
      <c r="N246" s="258">
        <f t="shared" si="88"/>
        <v>9522.920228957837</v>
      </c>
      <c r="O246" s="258">
        <f t="shared" si="88"/>
        <v>9457.963417708594</v>
      </c>
      <c r="P246" s="258">
        <f t="shared" si="88"/>
        <v>9387.945036751616</v>
      </c>
      <c r="Q246" s="258">
        <f t="shared" si="88"/>
        <v>9312.470678057733</v>
      </c>
      <c r="R246" s="258">
        <f t="shared" si="88"/>
        <v>9231.115200504584</v>
      </c>
    </row>
    <row r="247" ht="12.75">
      <c r="H247" s="28"/>
    </row>
    <row r="248" spans="2:8" ht="12.75">
      <c r="B248" s="96" t="str">
        <f>B90</f>
        <v>Stockholders' Equity</v>
      </c>
      <c r="H248" s="28"/>
    </row>
    <row r="249" spans="2:18" ht="12.75">
      <c r="B249" s="1" t="str">
        <f>B91</f>
        <v>New Preferred Stock</v>
      </c>
      <c r="H249" s="262">
        <f>L91</f>
        <v>0</v>
      </c>
      <c r="I249" s="258">
        <f>H249</f>
        <v>0</v>
      </c>
      <c r="J249" s="258">
        <f aca="true" t="shared" si="89" ref="J249:R249">I249</f>
        <v>0</v>
      </c>
      <c r="K249" s="258">
        <f t="shared" si="89"/>
        <v>0</v>
      </c>
      <c r="L249" s="258">
        <f t="shared" si="89"/>
        <v>0</v>
      </c>
      <c r="M249" s="258">
        <f t="shared" si="89"/>
        <v>0</v>
      </c>
      <c r="N249" s="258">
        <f t="shared" si="89"/>
        <v>0</v>
      </c>
      <c r="O249" s="258">
        <f t="shared" si="89"/>
        <v>0</v>
      </c>
      <c r="P249" s="258">
        <f t="shared" si="89"/>
        <v>0</v>
      </c>
      <c r="Q249" s="258">
        <f t="shared" si="89"/>
        <v>0</v>
      </c>
      <c r="R249" s="258">
        <f t="shared" si="89"/>
        <v>0</v>
      </c>
    </row>
    <row r="250" spans="2:18" ht="12.75">
      <c r="B250" s="1" t="str">
        <f>B92</f>
        <v>Sponsor Equity</v>
      </c>
      <c r="H250" s="208">
        <f>L92</f>
        <v>1300</v>
      </c>
      <c r="I250" s="141">
        <f>H250</f>
        <v>1300</v>
      </c>
      <c r="J250" s="141">
        <f aca="true" t="shared" si="90" ref="J250:R250">I250</f>
        <v>1300</v>
      </c>
      <c r="K250" s="141">
        <f t="shared" si="90"/>
        <v>1300</v>
      </c>
      <c r="L250" s="141">
        <f t="shared" si="90"/>
        <v>1300</v>
      </c>
      <c r="M250" s="141">
        <f t="shared" si="90"/>
        <v>1300</v>
      </c>
      <c r="N250" s="141">
        <f t="shared" si="90"/>
        <v>1300</v>
      </c>
      <c r="O250" s="141">
        <f t="shared" si="90"/>
        <v>1300</v>
      </c>
      <c r="P250" s="141">
        <f t="shared" si="90"/>
        <v>1300</v>
      </c>
      <c r="Q250" s="141">
        <f t="shared" si="90"/>
        <v>1300</v>
      </c>
      <c r="R250" s="141">
        <f t="shared" si="90"/>
        <v>1300</v>
      </c>
    </row>
    <row r="251" spans="2:18" ht="12.75">
      <c r="B251" s="10" t="str">
        <f>B93</f>
        <v>Retained Earnings</v>
      </c>
      <c r="C251" s="10"/>
      <c r="D251" s="10"/>
      <c r="E251" s="10"/>
      <c r="F251" s="10"/>
      <c r="G251" s="10"/>
      <c r="H251" s="227">
        <f>L93</f>
        <v>0</v>
      </c>
      <c r="I251" s="143">
        <f aca="true" t="shared" si="91" ref="I251:R251">H251+I158</f>
        <v>-35.32427389359961</v>
      </c>
      <c r="J251" s="143">
        <f t="shared" si="91"/>
        <v>-68.46615107761247</v>
      </c>
      <c r="K251" s="143">
        <f t="shared" si="91"/>
        <v>-99.2416323825149</v>
      </c>
      <c r="L251" s="143">
        <f t="shared" si="91"/>
        <v>-127.46632332422041</v>
      </c>
      <c r="M251" s="143">
        <f t="shared" si="91"/>
        <v>-152.94146101728512</v>
      </c>
      <c r="N251" s="143">
        <f t="shared" si="91"/>
        <v>-175.45279455921752</v>
      </c>
      <c r="O251" s="143">
        <f t="shared" si="91"/>
        <v>-190.8732742759035</v>
      </c>
      <c r="P251" s="143">
        <f t="shared" si="91"/>
        <v>-201.2321842848562</v>
      </c>
      <c r="Q251" s="143">
        <f t="shared" si="91"/>
        <v>-206.13511655690166</v>
      </c>
      <c r="R251" s="143">
        <f t="shared" si="91"/>
        <v>-205.15692996968335</v>
      </c>
    </row>
    <row r="252" spans="2:18" ht="12.75">
      <c r="B252" s="1" t="str">
        <f>B94</f>
        <v>Total Stockholders' Equity</v>
      </c>
      <c r="H252" s="262">
        <f>SUM(H249:H251)</f>
        <v>1300</v>
      </c>
      <c r="I252" s="258">
        <f aca="true" t="shared" si="92" ref="I252:R252">SUM(I249:I251)</f>
        <v>1264.6757261064004</v>
      </c>
      <c r="J252" s="258">
        <f t="shared" si="92"/>
        <v>1231.5338489223875</v>
      </c>
      <c r="K252" s="258">
        <f t="shared" si="92"/>
        <v>1200.7583676174852</v>
      </c>
      <c r="L252" s="258">
        <f t="shared" si="92"/>
        <v>1172.5336766757796</v>
      </c>
      <c r="M252" s="258">
        <f t="shared" si="92"/>
        <v>1147.058538982715</v>
      </c>
      <c r="N252" s="258">
        <f t="shared" si="92"/>
        <v>1124.5472054407824</v>
      </c>
      <c r="O252" s="258">
        <f t="shared" si="92"/>
        <v>1109.1267257240966</v>
      </c>
      <c r="P252" s="258">
        <f t="shared" si="92"/>
        <v>1098.7678157151438</v>
      </c>
      <c r="Q252" s="258">
        <f t="shared" si="92"/>
        <v>1093.8648834430983</v>
      </c>
      <c r="R252" s="258">
        <f t="shared" si="92"/>
        <v>1094.8430700303165</v>
      </c>
    </row>
    <row r="253" ht="12.75">
      <c r="H253" s="262"/>
    </row>
    <row r="254" spans="2:18" ht="13.5" thickBot="1">
      <c r="B254" s="98" t="str">
        <f>B96</f>
        <v>Total Liabilities &amp; Stockholders' Equity</v>
      </c>
      <c r="C254" s="4"/>
      <c r="D254" s="4"/>
      <c r="E254" s="4"/>
      <c r="F254" s="4"/>
      <c r="G254" s="4"/>
      <c r="H254" s="263">
        <f>H246+H252</f>
        <v>11143</v>
      </c>
      <c r="I254" s="259">
        <f aca="true" t="shared" si="93" ref="I254:R254">I246+I252</f>
        <v>11049.353889228267</v>
      </c>
      <c r="J254" s="259">
        <f t="shared" si="93"/>
        <v>10968.976598262336</v>
      </c>
      <c r="K254" s="259">
        <f t="shared" si="93"/>
        <v>10888.599307296407</v>
      </c>
      <c r="L254" s="259">
        <f t="shared" si="93"/>
        <v>10808.222016330477</v>
      </c>
      <c r="M254" s="259">
        <f t="shared" si="93"/>
        <v>10727.844725364548</v>
      </c>
      <c r="N254" s="259">
        <f t="shared" si="93"/>
        <v>10647.467434398619</v>
      </c>
      <c r="O254" s="259">
        <f t="shared" si="93"/>
        <v>10567.09014343269</v>
      </c>
      <c r="P254" s="259">
        <f t="shared" si="93"/>
        <v>10486.71285246676</v>
      </c>
      <c r="Q254" s="259">
        <f t="shared" si="93"/>
        <v>10406.335561500831</v>
      </c>
      <c r="R254" s="259">
        <f t="shared" si="93"/>
        <v>10325.9582705349</v>
      </c>
    </row>
    <row r="255" spans="2:18" ht="12.75">
      <c r="B255" s="1" t="s">
        <v>130</v>
      </c>
      <c r="H255" s="260">
        <f>H229-H254</f>
        <v>0</v>
      </c>
      <c r="I255" s="260">
        <f>I229-I254</f>
        <v>0</v>
      </c>
      <c r="J255" s="260">
        <f aca="true" t="shared" si="94" ref="J255:R255">J229-J254</f>
        <v>0</v>
      </c>
      <c r="K255" s="260">
        <f t="shared" si="94"/>
        <v>0</v>
      </c>
      <c r="L255" s="260">
        <f t="shared" si="94"/>
        <v>0</v>
      </c>
      <c r="M255" s="260">
        <f t="shared" si="94"/>
        <v>0</v>
      </c>
      <c r="N255" s="260">
        <f t="shared" si="94"/>
        <v>0</v>
      </c>
      <c r="O255" s="260">
        <f t="shared" si="94"/>
        <v>0</v>
      </c>
      <c r="P255" s="260">
        <f t="shared" si="94"/>
        <v>0</v>
      </c>
      <c r="Q255" s="260">
        <f t="shared" si="94"/>
        <v>0</v>
      </c>
      <c r="R255" s="260">
        <f t="shared" si="94"/>
        <v>0</v>
      </c>
    </row>
    <row r="257" spans="1:18" ht="15.75">
      <c r="A257" s="76" t="s">
        <v>203</v>
      </c>
      <c r="B257" s="190" t="s">
        <v>215</v>
      </c>
      <c r="C257" s="190"/>
      <c r="D257" s="190"/>
      <c r="E257" s="190"/>
      <c r="F257" s="190"/>
      <c r="G257" s="190"/>
      <c r="H257" s="190"/>
      <c r="I257" s="190"/>
      <c r="J257" s="190"/>
      <c r="K257" s="190"/>
      <c r="L257" s="190"/>
      <c r="M257" s="190"/>
      <c r="N257" s="190"/>
      <c r="O257" s="190"/>
      <c r="P257" s="190"/>
      <c r="Q257" s="190"/>
      <c r="R257" s="190"/>
    </row>
    <row r="258" ht="12.75">
      <c r="B258" s="231" t="str">
        <f>'Case Manager'!$K$5</f>
        <v>($ in millions)</v>
      </c>
    </row>
    <row r="260" spans="2:14" ht="13.5">
      <c r="B260" s="2" t="str">
        <f>'Case Manager'!$D$65</f>
        <v>Base Case</v>
      </c>
      <c r="N260" s="76"/>
    </row>
    <row r="261" spans="2:18" ht="14.25" thickBot="1">
      <c r="B261" s="3"/>
      <c r="C261" s="4"/>
      <c r="D261" s="4"/>
      <c r="E261" s="4"/>
      <c r="F261" s="4"/>
      <c r="G261" s="4"/>
      <c r="H261" s="4"/>
      <c r="I261" s="4"/>
      <c r="J261" s="4"/>
      <c r="K261" s="4"/>
      <c r="L261" s="4"/>
      <c r="M261" s="4"/>
      <c r="N261" s="4"/>
      <c r="O261" s="4"/>
      <c r="P261" s="4"/>
      <c r="Q261" s="4"/>
      <c r="R261" s="4"/>
    </row>
    <row r="262" spans="2:18" ht="13.5">
      <c r="B262" s="5" t="str">
        <f>'Case Manager'!$K$6</f>
        <v>For the FYE January 31</v>
      </c>
      <c r="F262" s="12" t="str">
        <f>'Summary of Consolidated Fins'!$F$7</f>
        <v>Actual</v>
      </c>
      <c r="G262" s="13"/>
      <c r="H262" s="14"/>
      <c r="I262" s="12" t="str">
        <f>'Summary of Consolidated Fins'!$I$7</f>
        <v>Projected</v>
      </c>
      <c r="J262" s="12"/>
      <c r="K262" s="12"/>
      <c r="L262" s="13"/>
      <c r="M262" s="6"/>
      <c r="N262" s="6"/>
      <c r="O262" s="6"/>
      <c r="P262" s="6"/>
      <c r="Q262" s="6"/>
      <c r="R262" s="6"/>
    </row>
    <row r="263" spans="2:18" ht="12.75">
      <c r="B263" s="7"/>
      <c r="C263" s="7"/>
      <c r="D263" s="7"/>
      <c r="E263" s="7"/>
      <c r="F263" s="15">
        <f>'Summary of Consolidated Fins'!$F$8</f>
        <v>2003</v>
      </c>
      <c r="G263" s="15">
        <f>'Summary of Consolidated Fins'!$G$8</f>
        <v>2004</v>
      </c>
      <c r="H263" s="16">
        <f>'Summary of Consolidated Fins'!$H$8</f>
        <v>2005</v>
      </c>
      <c r="I263" s="15">
        <f>'Summary of Consolidated Fins'!$I$8</f>
        <v>2006</v>
      </c>
      <c r="J263" s="15">
        <f>'Summary of Consolidated Fins'!$J$8</f>
        <v>2007</v>
      </c>
      <c r="K263" s="15">
        <f>'Summary of Consolidated Fins'!$K$8</f>
        <v>2008</v>
      </c>
      <c r="L263" s="15">
        <f>'Summary of Consolidated Fins'!$L$8</f>
        <v>2009</v>
      </c>
      <c r="M263" s="32">
        <f>'Summary of Consolidated Fins'!$M$8</f>
        <v>2010</v>
      </c>
      <c r="N263" s="32">
        <f>M263+1</f>
        <v>2011</v>
      </c>
      <c r="O263" s="32">
        <f>N263+1</f>
        <v>2012</v>
      </c>
      <c r="P263" s="32">
        <f>O263+1</f>
        <v>2013</v>
      </c>
      <c r="Q263" s="32">
        <f>P263+1</f>
        <v>2014</v>
      </c>
      <c r="R263" s="32">
        <f>Q263+1</f>
        <v>2015</v>
      </c>
    </row>
    <row r="264" spans="2:8" ht="12.75">
      <c r="B264" s="85" t="s">
        <v>216</v>
      </c>
      <c r="H264" s="23"/>
    </row>
    <row r="265" spans="2:18" ht="12.75">
      <c r="B265" s="1" t="s">
        <v>217</v>
      </c>
      <c r="H265" s="234">
        <f>'Case Manager'!K10</f>
        <v>0.0275</v>
      </c>
      <c r="I265" s="235">
        <f>(IF(H265+'Case Manager'!$K$11&gt;'Case Manager'!$K$12,'Case Manager'!$K$12,H265+'Case Manager'!$K$11))</f>
        <v>0.0325</v>
      </c>
      <c r="J265" s="235">
        <f>(IF(I265+'Case Manager'!$K$11&gt;'Case Manager'!$K$12,'Case Manager'!$K$12,I265+'Case Manager'!$K$11))</f>
        <v>0.0375</v>
      </c>
      <c r="K265" s="235">
        <f>(IF(J265+'Case Manager'!$K$11&gt;'Case Manager'!$K$12,'Case Manager'!$K$12,J265+'Case Manager'!$K$11))</f>
        <v>0.042499999999999996</v>
      </c>
      <c r="L265" s="235">
        <f>(IF(K265+'Case Manager'!$K$11&gt;'Case Manager'!$K$12,'Case Manager'!$K$12,K265+'Case Manager'!$K$11))</f>
        <v>0.047499999999999994</v>
      </c>
      <c r="M265" s="235">
        <f>(IF(L265+'Case Manager'!$K$11&gt;'Case Manager'!$K$12,'Case Manager'!$K$12,L265+'Case Manager'!$K$11))</f>
        <v>0.05249999999999999</v>
      </c>
      <c r="N265" s="235">
        <f>(IF(M265+'Case Manager'!$K$11&gt;'Case Manager'!$K$12,'Case Manager'!$K$12,M265+'Case Manager'!$K$11))</f>
        <v>0.05749999999999999</v>
      </c>
      <c r="O265" s="235">
        <f>(IF(N265+'Case Manager'!$K$11&gt;'Case Manager'!$K$12,'Case Manager'!$K$12,N265+'Case Manager'!$K$11))</f>
        <v>0.06</v>
      </c>
      <c r="P265" s="235">
        <f>(IF(O265+'Case Manager'!$K$11&gt;'Case Manager'!$K$12,'Case Manager'!$K$12,O265+'Case Manager'!$K$11))</f>
        <v>0.06</v>
      </c>
      <c r="Q265" s="235">
        <f>(IF(P265+'Case Manager'!$K$11&gt;'Case Manager'!$K$12,'Case Manager'!$K$12,P265+'Case Manager'!$K$11))</f>
        <v>0.06</v>
      </c>
      <c r="R265" s="235">
        <f>(IF(Q265+'Case Manager'!$K$11&gt;'Case Manager'!$K$12,'Case Manager'!$K$12,Q265+'Case Manager'!$K$11))</f>
        <v>0.06</v>
      </c>
    </row>
    <row r="266" ht="12.75">
      <c r="H266" s="28"/>
    </row>
    <row r="267" spans="2:18" ht="12.75">
      <c r="B267" s="1" t="s">
        <v>218</v>
      </c>
      <c r="H267" s="238">
        <f>'Case Manager'!K13</f>
        <v>0.0275</v>
      </c>
      <c r="I267" s="235">
        <f>(IF(H267+'Case Manager'!$K$14&gt;'Case Manager'!$K$15,'Case Manager'!$K$15,H267+'Case Manager'!$K$14))</f>
        <v>0.0325</v>
      </c>
      <c r="J267" s="235">
        <f>(IF(I267+'Case Manager'!$K$14&gt;'Case Manager'!$K$15,'Case Manager'!$K$15,I267+'Case Manager'!$K$14))</f>
        <v>0.0375</v>
      </c>
      <c r="K267" s="235">
        <f>(IF(J267+'Case Manager'!$K$14&gt;'Case Manager'!$K$15,'Case Manager'!$K$15,J267+'Case Manager'!$K$14))</f>
        <v>0.042499999999999996</v>
      </c>
      <c r="L267" s="235">
        <f>(IF(K267+'Case Manager'!$K$14&gt;'Case Manager'!$K$15,'Case Manager'!$K$15,K267+'Case Manager'!$K$14))</f>
        <v>0.047499999999999994</v>
      </c>
      <c r="M267" s="235">
        <f>(IF(L267+'Case Manager'!$K$14&gt;'Case Manager'!$K$15,'Case Manager'!$K$15,L267+'Case Manager'!$K$14))</f>
        <v>0.05249999999999999</v>
      </c>
      <c r="N267" s="235">
        <f>(IF(M267+'Case Manager'!$K$14&gt;'Case Manager'!$K$15,'Case Manager'!$K$15,M267+'Case Manager'!$K$14))</f>
        <v>0.05749999999999999</v>
      </c>
      <c r="O267" s="235">
        <f>(IF(N267+'Case Manager'!$K$14&gt;'Case Manager'!$K$15,'Case Manager'!$K$15,N267+'Case Manager'!$K$14))</f>
        <v>0.062499999999999986</v>
      </c>
      <c r="P267" s="235">
        <f>(IF(O267+'Case Manager'!$K$14&gt;'Case Manager'!$K$15,'Case Manager'!$K$15,O267+'Case Manager'!$K$14))</f>
        <v>0.0625</v>
      </c>
      <c r="Q267" s="235">
        <f>(IF(P267+'Case Manager'!$K$14&gt;'Case Manager'!$K$15,'Case Manager'!$K$15,P267+'Case Manager'!$K$14))</f>
        <v>0.0625</v>
      </c>
      <c r="R267" s="235">
        <f>(IF(Q267+'Case Manager'!$K$14&gt;'Case Manager'!$K$15,'Case Manager'!$K$15,Q267+'Case Manager'!$K$14))</f>
        <v>0.0625</v>
      </c>
    </row>
    <row r="268" ht="12.75">
      <c r="H268" s="28"/>
    </row>
    <row r="269" spans="2:8" ht="12.75">
      <c r="B269" s="225" t="s">
        <v>219</v>
      </c>
      <c r="G269" s="242" t="s">
        <v>220</v>
      </c>
      <c r="H269" s="232" t="s">
        <v>230</v>
      </c>
    </row>
    <row r="270" spans="2:18" ht="12.75">
      <c r="B270" s="1" t="str">
        <f>B78</f>
        <v>Assumed Debt</v>
      </c>
      <c r="G270" s="8"/>
      <c r="H270" s="238">
        <f>'Case Manager'!I50</f>
        <v>0.075</v>
      </c>
      <c r="I270" s="239">
        <f>H270</f>
        <v>0.075</v>
      </c>
      <c r="J270" s="239">
        <f aca="true" t="shared" si="95" ref="J270:R270">I270</f>
        <v>0.075</v>
      </c>
      <c r="K270" s="239">
        <f t="shared" si="95"/>
        <v>0.075</v>
      </c>
      <c r="L270" s="239">
        <f t="shared" si="95"/>
        <v>0.075</v>
      </c>
      <c r="M270" s="239">
        <f t="shared" si="95"/>
        <v>0.075</v>
      </c>
      <c r="N270" s="239">
        <f t="shared" si="95"/>
        <v>0.075</v>
      </c>
      <c r="O270" s="239">
        <f t="shared" si="95"/>
        <v>0.075</v>
      </c>
      <c r="P270" s="239">
        <f t="shared" si="95"/>
        <v>0.075</v>
      </c>
      <c r="Q270" s="239">
        <f t="shared" si="95"/>
        <v>0.075</v>
      </c>
      <c r="R270" s="239">
        <f t="shared" si="95"/>
        <v>0.075</v>
      </c>
    </row>
    <row r="271" spans="2:18" ht="12.75">
      <c r="B271" s="1" t="str">
        <f>B79</f>
        <v>Senior Secured Credit Facility</v>
      </c>
      <c r="G271" s="243">
        <f>'Case Manager'!$G$51</f>
        <v>0.035</v>
      </c>
      <c r="H271" s="238"/>
      <c r="I271" s="239">
        <f>$G$271+I$265</f>
        <v>0.0675</v>
      </c>
      <c r="J271" s="239">
        <f aca="true" t="shared" si="96" ref="J271:R271">$G$271+J$265</f>
        <v>0.07250000000000001</v>
      </c>
      <c r="K271" s="239">
        <f t="shared" si="96"/>
        <v>0.0775</v>
      </c>
      <c r="L271" s="239">
        <f t="shared" si="96"/>
        <v>0.08249999999999999</v>
      </c>
      <c r="M271" s="239">
        <f t="shared" si="96"/>
        <v>0.0875</v>
      </c>
      <c r="N271" s="239">
        <f t="shared" si="96"/>
        <v>0.0925</v>
      </c>
      <c r="O271" s="239">
        <f t="shared" si="96"/>
        <v>0.095</v>
      </c>
      <c r="P271" s="239">
        <f t="shared" si="96"/>
        <v>0.095</v>
      </c>
      <c r="Q271" s="239">
        <f t="shared" si="96"/>
        <v>0.095</v>
      </c>
      <c r="R271" s="239">
        <f t="shared" si="96"/>
        <v>0.095</v>
      </c>
    </row>
    <row r="272" spans="2:18" ht="12.75">
      <c r="B272" s="1" t="str">
        <f>B80</f>
        <v>Unsecured Bridge Loan</v>
      </c>
      <c r="H272" s="238">
        <f>'Case Manager'!I52</f>
        <v>0.1</v>
      </c>
      <c r="I272" s="239">
        <f>H272</f>
        <v>0.1</v>
      </c>
      <c r="J272" s="239">
        <f aca="true" t="shared" si="97" ref="J272:R272">I272</f>
        <v>0.1</v>
      </c>
      <c r="K272" s="239">
        <f t="shared" si="97"/>
        <v>0.1</v>
      </c>
      <c r="L272" s="239">
        <f t="shared" si="97"/>
        <v>0.1</v>
      </c>
      <c r="M272" s="239">
        <f t="shared" si="97"/>
        <v>0.1</v>
      </c>
      <c r="N272" s="239">
        <f t="shared" si="97"/>
        <v>0.1</v>
      </c>
      <c r="O272" s="239">
        <f t="shared" si="97"/>
        <v>0.1</v>
      </c>
      <c r="P272" s="239">
        <f t="shared" si="97"/>
        <v>0.1</v>
      </c>
      <c r="Q272" s="239">
        <f t="shared" si="97"/>
        <v>0.1</v>
      </c>
      <c r="R272" s="239">
        <f t="shared" si="97"/>
        <v>0.1</v>
      </c>
    </row>
    <row r="273" spans="2:18" ht="12.75">
      <c r="B273" s="1" t="str">
        <f>B81</f>
        <v>Secured European Bridge Loan</v>
      </c>
      <c r="H273" s="238">
        <f>'Case Manager'!I53</f>
        <v>0.08</v>
      </c>
      <c r="I273" s="239">
        <f>H273</f>
        <v>0.08</v>
      </c>
      <c r="J273" s="239">
        <f aca="true" t="shared" si="98" ref="J273:R273">I273</f>
        <v>0.08</v>
      </c>
      <c r="K273" s="239">
        <f t="shared" si="98"/>
        <v>0.08</v>
      </c>
      <c r="L273" s="239">
        <f t="shared" si="98"/>
        <v>0.08</v>
      </c>
      <c r="M273" s="239">
        <f t="shared" si="98"/>
        <v>0.08</v>
      </c>
      <c r="N273" s="239">
        <f t="shared" si="98"/>
        <v>0.08</v>
      </c>
      <c r="O273" s="239">
        <f t="shared" si="98"/>
        <v>0.08</v>
      </c>
      <c r="P273" s="239">
        <f t="shared" si="98"/>
        <v>0.08</v>
      </c>
      <c r="Q273" s="239">
        <f t="shared" si="98"/>
        <v>0.08</v>
      </c>
      <c r="R273" s="239">
        <f t="shared" si="98"/>
        <v>0.08</v>
      </c>
    </row>
    <row r="274" spans="2:18" ht="12.75">
      <c r="B274" s="1" t="str">
        <f>B82</f>
        <v>Mortgage Loan Agreements</v>
      </c>
      <c r="G274" s="243">
        <f>'Case Manager'!G54</f>
        <v>0.015</v>
      </c>
      <c r="H274" s="238"/>
      <c r="I274" s="239">
        <f>$G$274+I$265</f>
        <v>0.0475</v>
      </c>
      <c r="J274" s="239">
        <f aca="true" t="shared" si="99" ref="J274:R274">$G$274+J$265</f>
        <v>0.0525</v>
      </c>
      <c r="K274" s="239">
        <f t="shared" si="99"/>
        <v>0.057499999999999996</v>
      </c>
      <c r="L274" s="239">
        <f t="shared" si="99"/>
        <v>0.06249999999999999</v>
      </c>
      <c r="M274" s="239">
        <f t="shared" si="99"/>
        <v>0.06749999999999999</v>
      </c>
      <c r="N274" s="239">
        <f t="shared" si="99"/>
        <v>0.07249999999999998</v>
      </c>
      <c r="O274" s="239">
        <f t="shared" si="99"/>
        <v>0.075</v>
      </c>
      <c r="P274" s="239">
        <f t="shared" si="99"/>
        <v>0.075</v>
      </c>
      <c r="Q274" s="239">
        <f t="shared" si="99"/>
        <v>0.075</v>
      </c>
      <c r="R274" s="239">
        <f t="shared" si="99"/>
        <v>0.075</v>
      </c>
    </row>
    <row r="275" ht="12.75">
      <c r="H275" s="28"/>
    </row>
    <row r="276" spans="2:8" ht="12.75">
      <c r="B276" s="85" t="s">
        <v>231</v>
      </c>
      <c r="H276" s="28"/>
    </row>
    <row r="277" spans="2:18" ht="12.75">
      <c r="B277" s="1" t="str">
        <f>B60</f>
        <v>Accounts and Other Receivables</v>
      </c>
      <c r="G277" s="140">
        <f>$F$60</f>
        <v>146</v>
      </c>
      <c r="H277" s="207">
        <f>$H$60</f>
        <v>153</v>
      </c>
      <c r="I277" s="140">
        <f aca="true" t="shared" si="100" ref="I277:R277">I278/365*I112</f>
        <v>152.36768153219106</v>
      </c>
      <c r="J277" s="140">
        <f t="shared" si="100"/>
        <v>152.36768153219106</v>
      </c>
      <c r="K277" s="140">
        <f t="shared" si="100"/>
        <v>152.36768153219106</v>
      </c>
      <c r="L277" s="140">
        <f t="shared" si="100"/>
        <v>152.36768153219106</v>
      </c>
      <c r="M277" s="140">
        <f t="shared" si="100"/>
        <v>152.36768153219106</v>
      </c>
      <c r="N277" s="140">
        <f t="shared" si="100"/>
        <v>152.36768153219106</v>
      </c>
      <c r="O277" s="140">
        <f t="shared" si="100"/>
        <v>152.36768153219106</v>
      </c>
      <c r="P277" s="140">
        <f t="shared" si="100"/>
        <v>152.36768153219106</v>
      </c>
      <c r="Q277" s="140">
        <f t="shared" si="100"/>
        <v>152.36768153219106</v>
      </c>
      <c r="R277" s="140">
        <f t="shared" si="100"/>
        <v>152.36768153219106</v>
      </c>
    </row>
    <row r="278" spans="2:18" ht="12.75">
      <c r="B278" s="1" t="s">
        <v>232</v>
      </c>
      <c r="G278" s="141">
        <f>G277/G112*365</f>
        <v>4.707597173144876</v>
      </c>
      <c r="H278" s="208">
        <f>H277/H112*365</f>
        <v>5.031081081081081</v>
      </c>
      <c r="I278" s="141">
        <f>H278</f>
        <v>5.031081081081081</v>
      </c>
      <c r="J278" s="141">
        <f aca="true" t="shared" si="101" ref="J278:R278">I278</f>
        <v>5.031081081081081</v>
      </c>
      <c r="K278" s="141">
        <f t="shared" si="101"/>
        <v>5.031081081081081</v>
      </c>
      <c r="L278" s="141">
        <f t="shared" si="101"/>
        <v>5.031081081081081</v>
      </c>
      <c r="M278" s="141">
        <f t="shared" si="101"/>
        <v>5.031081081081081</v>
      </c>
      <c r="N278" s="141">
        <f t="shared" si="101"/>
        <v>5.031081081081081</v>
      </c>
      <c r="O278" s="141">
        <f t="shared" si="101"/>
        <v>5.031081081081081</v>
      </c>
      <c r="P278" s="141">
        <f t="shared" si="101"/>
        <v>5.031081081081081</v>
      </c>
      <c r="Q278" s="141">
        <f t="shared" si="101"/>
        <v>5.031081081081081</v>
      </c>
      <c r="R278" s="141">
        <f t="shared" si="101"/>
        <v>5.031081081081081</v>
      </c>
    </row>
    <row r="279" ht="12.75">
      <c r="H279" s="28"/>
    </row>
    <row r="280" spans="2:18" ht="12.75">
      <c r="B280" s="1" t="str">
        <f>B61</f>
        <v>Merchandise Inventories</v>
      </c>
      <c r="F280" s="140"/>
      <c r="G280" s="140">
        <f>$F$61</f>
        <v>2094</v>
      </c>
      <c r="H280" s="207">
        <f>$H$61</f>
        <v>1884</v>
      </c>
      <c r="I280" s="140">
        <f aca="true" t="shared" si="102" ref="I280:R280">I115/I281</f>
        <v>1872.0536763360178</v>
      </c>
      <c r="J280" s="140">
        <f t="shared" si="102"/>
        <v>1872.0536763360178</v>
      </c>
      <c r="K280" s="140">
        <f t="shared" si="102"/>
        <v>1872.0536763360178</v>
      </c>
      <c r="L280" s="140">
        <f t="shared" si="102"/>
        <v>1872.0536763360178</v>
      </c>
      <c r="M280" s="140">
        <f t="shared" si="102"/>
        <v>1872.0536763360178</v>
      </c>
      <c r="N280" s="140">
        <f t="shared" si="102"/>
        <v>1872.0536763360178</v>
      </c>
      <c r="O280" s="140">
        <f t="shared" si="102"/>
        <v>1872.0536763360178</v>
      </c>
      <c r="P280" s="140">
        <f t="shared" si="102"/>
        <v>1872.0536763360178</v>
      </c>
      <c r="Q280" s="140">
        <f t="shared" si="102"/>
        <v>1872.0536763360178</v>
      </c>
      <c r="R280" s="140">
        <f t="shared" si="102"/>
        <v>1872.0536763360178</v>
      </c>
    </row>
    <row r="281" spans="2:18" ht="12.75">
      <c r="B281" s="1" t="s">
        <v>233</v>
      </c>
      <c r="G281" s="141">
        <f>G115/G280</f>
        <v>5.085482330468004</v>
      </c>
      <c r="H281" s="208">
        <f>H115/H280</f>
        <v>5.435244161358811</v>
      </c>
      <c r="I281" s="141">
        <f>H281</f>
        <v>5.435244161358811</v>
      </c>
      <c r="J281" s="141">
        <f aca="true" t="shared" si="103" ref="J281:R281">I281</f>
        <v>5.435244161358811</v>
      </c>
      <c r="K281" s="141">
        <f t="shared" si="103"/>
        <v>5.435244161358811</v>
      </c>
      <c r="L281" s="141">
        <f t="shared" si="103"/>
        <v>5.435244161358811</v>
      </c>
      <c r="M281" s="141">
        <f t="shared" si="103"/>
        <v>5.435244161358811</v>
      </c>
      <c r="N281" s="141">
        <f t="shared" si="103"/>
        <v>5.435244161358811</v>
      </c>
      <c r="O281" s="141">
        <f t="shared" si="103"/>
        <v>5.435244161358811</v>
      </c>
      <c r="P281" s="141">
        <f t="shared" si="103"/>
        <v>5.435244161358811</v>
      </c>
      <c r="Q281" s="141">
        <f t="shared" si="103"/>
        <v>5.435244161358811</v>
      </c>
      <c r="R281" s="141">
        <f t="shared" si="103"/>
        <v>5.435244161358811</v>
      </c>
    </row>
    <row r="282" ht="12.75">
      <c r="H282" s="28"/>
    </row>
    <row r="283" spans="2:18" ht="12.75">
      <c r="B283" s="1" t="str">
        <f>B62</f>
        <v>Other Current Assets</v>
      </c>
      <c r="F283" s="140"/>
      <c r="G283" s="140">
        <f>$F$62</f>
        <v>486</v>
      </c>
      <c r="H283" s="207">
        <f>$H$62</f>
        <v>167</v>
      </c>
      <c r="I283" s="140">
        <f aca="true" t="shared" si="104" ref="I283:R283">I284/365*I112</f>
        <v>166.30982232598632</v>
      </c>
      <c r="J283" s="140">
        <f t="shared" si="104"/>
        <v>166.30982232598632</v>
      </c>
      <c r="K283" s="140">
        <f t="shared" si="104"/>
        <v>166.30982232598632</v>
      </c>
      <c r="L283" s="140">
        <f t="shared" si="104"/>
        <v>166.30982232598632</v>
      </c>
      <c r="M283" s="140">
        <f t="shared" si="104"/>
        <v>166.30982232598632</v>
      </c>
      <c r="N283" s="140">
        <f t="shared" si="104"/>
        <v>166.30982232598632</v>
      </c>
      <c r="O283" s="140">
        <f t="shared" si="104"/>
        <v>166.30982232598632</v>
      </c>
      <c r="P283" s="140">
        <f t="shared" si="104"/>
        <v>166.30982232598632</v>
      </c>
      <c r="Q283" s="140">
        <f t="shared" si="104"/>
        <v>166.30982232598632</v>
      </c>
      <c r="R283" s="140">
        <f t="shared" si="104"/>
        <v>166.30982232598632</v>
      </c>
    </row>
    <row r="284" spans="2:18" ht="12.75">
      <c r="B284" s="1" t="s">
        <v>232</v>
      </c>
      <c r="G284" s="141">
        <f>G283/G112*365</f>
        <v>15.670494699646644</v>
      </c>
      <c r="H284" s="208">
        <f>H283/H112*365</f>
        <v>5.491441441441442</v>
      </c>
      <c r="I284" s="141">
        <f>H284</f>
        <v>5.491441441441442</v>
      </c>
      <c r="J284" s="141">
        <f aca="true" t="shared" si="105" ref="J284:R284">I284</f>
        <v>5.491441441441442</v>
      </c>
      <c r="K284" s="141">
        <f t="shared" si="105"/>
        <v>5.491441441441442</v>
      </c>
      <c r="L284" s="141">
        <f t="shared" si="105"/>
        <v>5.491441441441442</v>
      </c>
      <c r="M284" s="141">
        <f t="shared" si="105"/>
        <v>5.491441441441442</v>
      </c>
      <c r="N284" s="141">
        <f t="shared" si="105"/>
        <v>5.491441441441442</v>
      </c>
      <c r="O284" s="141">
        <f t="shared" si="105"/>
        <v>5.491441441441442</v>
      </c>
      <c r="P284" s="141">
        <f t="shared" si="105"/>
        <v>5.491441441441442</v>
      </c>
      <c r="Q284" s="141">
        <f t="shared" si="105"/>
        <v>5.491441441441442</v>
      </c>
      <c r="R284" s="141">
        <f t="shared" si="105"/>
        <v>5.491441441441442</v>
      </c>
    </row>
    <row r="285" ht="12.75">
      <c r="H285" s="28"/>
    </row>
    <row r="286" spans="2:18" ht="12.75">
      <c r="B286" s="1" t="str">
        <f>B74</f>
        <v>Accounts Payable</v>
      </c>
      <c r="F286" s="140"/>
      <c r="G286" s="140">
        <f>$F$74</f>
        <v>1022</v>
      </c>
      <c r="H286" s="207">
        <f>$H$74</f>
        <v>1023</v>
      </c>
      <c r="I286" s="140">
        <f aca="true" t="shared" si="106" ref="I286:R286">I287/365*I115</f>
        <v>1016.5132223416911</v>
      </c>
      <c r="J286" s="140">
        <f t="shared" si="106"/>
        <v>1016.5132223416911</v>
      </c>
      <c r="K286" s="140">
        <f t="shared" si="106"/>
        <v>1016.5132223416911</v>
      </c>
      <c r="L286" s="140">
        <f t="shared" si="106"/>
        <v>1016.5132223416911</v>
      </c>
      <c r="M286" s="140">
        <f t="shared" si="106"/>
        <v>1016.5132223416911</v>
      </c>
      <c r="N286" s="140">
        <f t="shared" si="106"/>
        <v>1016.5132223416911</v>
      </c>
      <c r="O286" s="140">
        <f t="shared" si="106"/>
        <v>1016.5132223416911</v>
      </c>
      <c r="P286" s="140">
        <f t="shared" si="106"/>
        <v>1016.5132223416911</v>
      </c>
      <c r="Q286" s="140">
        <f t="shared" si="106"/>
        <v>1016.5132223416911</v>
      </c>
      <c r="R286" s="140">
        <f t="shared" si="106"/>
        <v>1016.5132223416911</v>
      </c>
    </row>
    <row r="287" spans="2:18" ht="12.75">
      <c r="B287" s="1" t="s">
        <v>232</v>
      </c>
      <c r="G287" s="203">
        <f>G286/G115*365</f>
        <v>35.02958024227627</v>
      </c>
      <c r="H287" s="208">
        <f>H286/H115*365</f>
        <v>36.46435546875</v>
      </c>
      <c r="I287" s="141">
        <f>H287</f>
        <v>36.46435546875</v>
      </c>
      <c r="J287" s="141">
        <f aca="true" t="shared" si="107" ref="J287:R287">I287</f>
        <v>36.46435546875</v>
      </c>
      <c r="K287" s="141">
        <f t="shared" si="107"/>
        <v>36.46435546875</v>
      </c>
      <c r="L287" s="141">
        <f t="shared" si="107"/>
        <v>36.46435546875</v>
      </c>
      <c r="M287" s="141">
        <f t="shared" si="107"/>
        <v>36.46435546875</v>
      </c>
      <c r="N287" s="141">
        <f t="shared" si="107"/>
        <v>36.46435546875</v>
      </c>
      <c r="O287" s="141">
        <f t="shared" si="107"/>
        <v>36.46435546875</v>
      </c>
      <c r="P287" s="141">
        <f t="shared" si="107"/>
        <v>36.46435546875</v>
      </c>
      <c r="Q287" s="141">
        <f t="shared" si="107"/>
        <v>36.46435546875</v>
      </c>
      <c r="R287" s="141">
        <f t="shared" si="107"/>
        <v>36.46435546875</v>
      </c>
    </row>
    <row r="288" ht="12.75">
      <c r="H288" s="28"/>
    </row>
    <row r="289" spans="2:18" ht="12.75">
      <c r="B289" s="1" t="str">
        <f>B75</f>
        <v>Accrued Expenses &amp; Other Current Liabilities</v>
      </c>
      <c r="F289" s="140"/>
      <c r="G289" s="140">
        <f>$F$75</f>
        <v>1185</v>
      </c>
      <c r="H289" s="207">
        <f>$H$75</f>
        <v>1126</v>
      </c>
      <c r="I289" s="140">
        <f aca="true" t="shared" si="108" ref="I289:R289">I290/365*I115</f>
        <v>1118.860105920571</v>
      </c>
      <c r="J289" s="140">
        <f t="shared" si="108"/>
        <v>1118.860105920571</v>
      </c>
      <c r="K289" s="140">
        <f t="shared" si="108"/>
        <v>1118.860105920571</v>
      </c>
      <c r="L289" s="140">
        <f t="shared" si="108"/>
        <v>1118.860105920571</v>
      </c>
      <c r="M289" s="140">
        <f t="shared" si="108"/>
        <v>1118.860105920571</v>
      </c>
      <c r="N289" s="140">
        <f t="shared" si="108"/>
        <v>1118.860105920571</v>
      </c>
      <c r="O289" s="140">
        <f t="shared" si="108"/>
        <v>1118.860105920571</v>
      </c>
      <c r="P289" s="140">
        <f t="shared" si="108"/>
        <v>1118.860105920571</v>
      </c>
      <c r="Q289" s="140">
        <f t="shared" si="108"/>
        <v>1118.860105920571</v>
      </c>
      <c r="R289" s="140">
        <f t="shared" si="108"/>
        <v>1118.860105920571</v>
      </c>
    </row>
    <row r="290" spans="2:18" ht="12.75">
      <c r="B290" s="1" t="s">
        <v>232</v>
      </c>
      <c r="G290" s="203">
        <f>G289/G115*365</f>
        <v>40.616489811249885</v>
      </c>
      <c r="H290" s="208">
        <f>H289/H115*365</f>
        <v>40.1357421875</v>
      </c>
      <c r="I290" s="141">
        <f>H290</f>
        <v>40.1357421875</v>
      </c>
      <c r="J290" s="141">
        <f aca="true" t="shared" si="109" ref="J290:R290">I290</f>
        <v>40.1357421875</v>
      </c>
      <c r="K290" s="141">
        <f t="shared" si="109"/>
        <v>40.1357421875</v>
      </c>
      <c r="L290" s="141">
        <f t="shared" si="109"/>
        <v>40.1357421875</v>
      </c>
      <c r="M290" s="141">
        <f t="shared" si="109"/>
        <v>40.1357421875</v>
      </c>
      <c r="N290" s="141">
        <f t="shared" si="109"/>
        <v>40.1357421875</v>
      </c>
      <c r="O290" s="141">
        <f t="shared" si="109"/>
        <v>40.1357421875</v>
      </c>
      <c r="P290" s="141">
        <f t="shared" si="109"/>
        <v>40.1357421875</v>
      </c>
      <c r="Q290" s="141">
        <f t="shared" si="109"/>
        <v>40.1357421875</v>
      </c>
      <c r="R290" s="141">
        <f t="shared" si="109"/>
        <v>40.1357421875</v>
      </c>
    </row>
    <row r="291" ht="12.75">
      <c r="H291" s="28"/>
    </row>
    <row r="292" spans="2:18" ht="12.75">
      <c r="B292" s="1" t="s">
        <v>59</v>
      </c>
      <c r="G292" s="140">
        <f>G277+G280+G283</f>
        <v>2726</v>
      </c>
      <c r="H292" s="207">
        <f>H277+H280+H283</f>
        <v>2204</v>
      </c>
      <c r="I292" s="140">
        <f aca="true" t="shared" si="110" ref="I292:R292">I277+I280+I283</f>
        <v>2190.731180194195</v>
      </c>
      <c r="J292" s="140">
        <f t="shared" si="110"/>
        <v>2190.731180194195</v>
      </c>
      <c r="K292" s="140">
        <f t="shared" si="110"/>
        <v>2190.731180194195</v>
      </c>
      <c r="L292" s="140">
        <f t="shared" si="110"/>
        <v>2190.731180194195</v>
      </c>
      <c r="M292" s="140">
        <f t="shared" si="110"/>
        <v>2190.731180194195</v>
      </c>
      <c r="N292" s="140">
        <f t="shared" si="110"/>
        <v>2190.731180194195</v>
      </c>
      <c r="O292" s="140">
        <f t="shared" si="110"/>
        <v>2190.731180194195</v>
      </c>
      <c r="P292" s="140">
        <f t="shared" si="110"/>
        <v>2190.731180194195</v>
      </c>
      <c r="Q292" s="140">
        <f t="shared" si="110"/>
        <v>2190.731180194195</v>
      </c>
      <c r="R292" s="140">
        <f t="shared" si="110"/>
        <v>2190.731180194195</v>
      </c>
    </row>
    <row r="293" spans="2:18" ht="12.75">
      <c r="B293" s="10" t="s">
        <v>75</v>
      </c>
      <c r="C293" s="10"/>
      <c r="D293" s="10"/>
      <c r="E293" s="10"/>
      <c r="F293" s="10"/>
      <c r="G293" s="143">
        <f>G286+G289</f>
        <v>2207</v>
      </c>
      <c r="H293" s="227">
        <f>H286+H289</f>
        <v>2149</v>
      </c>
      <c r="I293" s="143">
        <f aca="true" t="shared" si="111" ref="I293:R293">I286+I289</f>
        <v>2135.373328262262</v>
      </c>
      <c r="J293" s="143">
        <f t="shared" si="111"/>
        <v>2135.373328262262</v>
      </c>
      <c r="K293" s="143">
        <f t="shared" si="111"/>
        <v>2135.373328262262</v>
      </c>
      <c r="L293" s="143">
        <f t="shared" si="111"/>
        <v>2135.373328262262</v>
      </c>
      <c r="M293" s="143">
        <f t="shared" si="111"/>
        <v>2135.373328262262</v>
      </c>
      <c r="N293" s="143">
        <f t="shared" si="111"/>
        <v>2135.373328262262</v>
      </c>
      <c r="O293" s="143">
        <f t="shared" si="111"/>
        <v>2135.373328262262</v>
      </c>
      <c r="P293" s="143">
        <f t="shared" si="111"/>
        <v>2135.373328262262</v>
      </c>
      <c r="Q293" s="143">
        <f t="shared" si="111"/>
        <v>2135.373328262262</v>
      </c>
      <c r="R293" s="143">
        <f t="shared" si="111"/>
        <v>2135.373328262262</v>
      </c>
    </row>
    <row r="294" spans="2:18" ht="12.75">
      <c r="B294" s="1" t="s">
        <v>236</v>
      </c>
      <c r="G294" s="140">
        <f>G292-G293</f>
        <v>519</v>
      </c>
      <c r="H294" s="253">
        <f aca="true" t="shared" si="112" ref="H294:R294">H292-H293</f>
        <v>55</v>
      </c>
      <c r="I294" s="140">
        <f t="shared" si="112"/>
        <v>55.357851931933055</v>
      </c>
      <c r="J294" s="140">
        <f t="shared" si="112"/>
        <v>55.357851931933055</v>
      </c>
      <c r="K294" s="140">
        <f t="shared" si="112"/>
        <v>55.357851931933055</v>
      </c>
      <c r="L294" s="140">
        <f t="shared" si="112"/>
        <v>55.357851931933055</v>
      </c>
      <c r="M294" s="140">
        <f t="shared" si="112"/>
        <v>55.357851931933055</v>
      </c>
      <c r="N294" s="140">
        <f t="shared" si="112"/>
        <v>55.357851931933055</v>
      </c>
      <c r="O294" s="140">
        <f t="shared" si="112"/>
        <v>55.357851931933055</v>
      </c>
      <c r="P294" s="140">
        <f t="shared" si="112"/>
        <v>55.357851931933055</v>
      </c>
      <c r="Q294" s="140">
        <f t="shared" si="112"/>
        <v>55.357851931933055</v>
      </c>
      <c r="R294" s="140">
        <f t="shared" si="112"/>
        <v>55.357851931933055</v>
      </c>
    </row>
    <row r="295" ht="12.75">
      <c r="H295" s="28"/>
    </row>
    <row r="296" spans="2:18" ht="12.75">
      <c r="B296" s="244" t="str">
        <f>"(Increase) / Decrease in "&amp;B277</f>
        <v>(Increase) / Decrease in Accounts and Other Receivables</v>
      </c>
      <c r="H296" s="207">
        <f>-(H277-G277)</f>
        <v>-7</v>
      </c>
      <c r="I296" s="140">
        <f>-(I277-H277)</f>
        <v>0.6323184678089433</v>
      </c>
      <c r="J296" s="140">
        <f aca="true" t="shared" si="113" ref="J296:R296">-(J277-I277)</f>
        <v>0</v>
      </c>
      <c r="K296" s="140">
        <f t="shared" si="113"/>
        <v>0</v>
      </c>
      <c r="L296" s="140">
        <f t="shared" si="113"/>
        <v>0</v>
      </c>
      <c r="M296" s="140">
        <f t="shared" si="113"/>
        <v>0</v>
      </c>
      <c r="N296" s="140">
        <f t="shared" si="113"/>
        <v>0</v>
      </c>
      <c r="O296" s="140">
        <f t="shared" si="113"/>
        <v>0</v>
      </c>
      <c r="P296" s="140">
        <f t="shared" si="113"/>
        <v>0</v>
      </c>
      <c r="Q296" s="140">
        <f t="shared" si="113"/>
        <v>0</v>
      </c>
      <c r="R296" s="140">
        <f t="shared" si="113"/>
        <v>0</v>
      </c>
    </row>
    <row r="297" spans="2:18" ht="12.75">
      <c r="B297" s="244" t="str">
        <f>"(Increase) / Decrease in "&amp;B280</f>
        <v>(Increase) / Decrease in Merchandise Inventories</v>
      </c>
      <c r="H297" s="208">
        <f>-(H280-G280)</f>
        <v>210</v>
      </c>
      <c r="I297" s="141">
        <f>-(I280-H280)</f>
        <v>11.946323663982184</v>
      </c>
      <c r="J297" s="141">
        <f aca="true" t="shared" si="114" ref="J297:R297">-(J280-I280)</f>
        <v>0</v>
      </c>
      <c r="K297" s="141">
        <f t="shared" si="114"/>
        <v>0</v>
      </c>
      <c r="L297" s="141">
        <f t="shared" si="114"/>
        <v>0</v>
      </c>
      <c r="M297" s="141">
        <f t="shared" si="114"/>
        <v>0</v>
      </c>
      <c r="N297" s="141">
        <f t="shared" si="114"/>
        <v>0</v>
      </c>
      <c r="O297" s="141">
        <f t="shared" si="114"/>
        <v>0</v>
      </c>
      <c r="P297" s="141">
        <f t="shared" si="114"/>
        <v>0</v>
      </c>
      <c r="Q297" s="141">
        <f t="shared" si="114"/>
        <v>0</v>
      </c>
      <c r="R297" s="141">
        <f t="shared" si="114"/>
        <v>0</v>
      </c>
    </row>
    <row r="298" spans="2:18" ht="12.75">
      <c r="B298" s="244" t="str">
        <f>"(Increase) / Decrease in "&amp;B283</f>
        <v>(Increase) / Decrease in Other Current Assets</v>
      </c>
      <c r="H298" s="208">
        <f>-(H283-G283)</f>
        <v>319</v>
      </c>
      <c r="I298" s="141">
        <f>-(I283-H283)</f>
        <v>0.6901776740136825</v>
      </c>
      <c r="J298" s="141">
        <f aca="true" t="shared" si="115" ref="J298:R298">-(J283-I283)</f>
        <v>0</v>
      </c>
      <c r="K298" s="141">
        <f t="shared" si="115"/>
        <v>0</v>
      </c>
      <c r="L298" s="141">
        <f t="shared" si="115"/>
        <v>0</v>
      </c>
      <c r="M298" s="141">
        <f t="shared" si="115"/>
        <v>0</v>
      </c>
      <c r="N298" s="141">
        <f t="shared" si="115"/>
        <v>0</v>
      </c>
      <c r="O298" s="141">
        <f t="shared" si="115"/>
        <v>0</v>
      </c>
      <c r="P298" s="141">
        <f t="shared" si="115"/>
        <v>0</v>
      </c>
      <c r="Q298" s="141">
        <f t="shared" si="115"/>
        <v>0</v>
      </c>
      <c r="R298" s="141">
        <f t="shared" si="115"/>
        <v>0</v>
      </c>
    </row>
    <row r="299" spans="2:18" ht="12.75">
      <c r="B299" s="244" t="str">
        <f>"Increase / (Decrease) in "&amp;B286</f>
        <v>Increase / (Decrease) in Accounts Payable</v>
      </c>
      <c r="H299" s="208">
        <f>H286-G286</f>
        <v>1</v>
      </c>
      <c r="I299" s="141">
        <f>I286-H286</f>
        <v>-6.486777658308938</v>
      </c>
      <c r="J299" s="141">
        <f aca="true" t="shared" si="116" ref="J299:R299">J286-I286</f>
        <v>0</v>
      </c>
      <c r="K299" s="141">
        <f t="shared" si="116"/>
        <v>0</v>
      </c>
      <c r="L299" s="141">
        <f t="shared" si="116"/>
        <v>0</v>
      </c>
      <c r="M299" s="141">
        <f t="shared" si="116"/>
        <v>0</v>
      </c>
      <c r="N299" s="141">
        <f t="shared" si="116"/>
        <v>0</v>
      </c>
      <c r="O299" s="141">
        <f t="shared" si="116"/>
        <v>0</v>
      </c>
      <c r="P299" s="141">
        <f t="shared" si="116"/>
        <v>0</v>
      </c>
      <c r="Q299" s="141">
        <f t="shared" si="116"/>
        <v>0</v>
      </c>
      <c r="R299" s="141">
        <f t="shared" si="116"/>
        <v>0</v>
      </c>
    </row>
    <row r="300" spans="2:18" ht="12.75">
      <c r="B300" s="245" t="str">
        <f>"Increase / (Decrease) in "&amp;B289</f>
        <v>Increase / (Decrease) in Accrued Expenses &amp; Other Current Liabilities</v>
      </c>
      <c r="C300" s="10"/>
      <c r="D300" s="10"/>
      <c r="E300" s="10"/>
      <c r="F300" s="10"/>
      <c r="G300" s="10"/>
      <c r="H300" s="227">
        <f>H289-G289</f>
        <v>-59</v>
      </c>
      <c r="I300" s="143">
        <f>I289-H289</f>
        <v>-7.139894079429041</v>
      </c>
      <c r="J300" s="143">
        <f aca="true" t="shared" si="117" ref="J300:R300">J289-I289</f>
        <v>0</v>
      </c>
      <c r="K300" s="143">
        <f t="shared" si="117"/>
        <v>0</v>
      </c>
      <c r="L300" s="143">
        <f t="shared" si="117"/>
        <v>0</v>
      </c>
      <c r="M300" s="143">
        <f t="shared" si="117"/>
        <v>0</v>
      </c>
      <c r="N300" s="143">
        <f t="shared" si="117"/>
        <v>0</v>
      </c>
      <c r="O300" s="143">
        <f t="shared" si="117"/>
        <v>0</v>
      </c>
      <c r="P300" s="143">
        <f t="shared" si="117"/>
        <v>0</v>
      </c>
      <c r="Q300" s="143">
        <f t="shared" si="117"/>
        <v>0</v>
      </c>
      <c r="R300" s="143">
        <f t="shared" si="117"/>
        <v>0</v>
      </c>
    </row>
    <row r="301" spans="2:18" ht="12.75">
      <c r="B301" s="247" t="s">
        <v>238</v>
      </c>
      <c r="C301" s="174"/>
      <c r="D301" s="174"/>
      <c r="E301" s="174"/>
      <c r="F301" s="174"/>
      <c r="G301" s="174"/>
      <c r="H301" s="253">
        <f>SUM(H296:H300)</f>
        <v>464</v>
      </c>
      <c r="I301" s="248">
        <f>SUM(I296:I300)</f>
        <v>-0.357851931933169</v>
      </c>
      <c r="J301" s="248">
        <f aca="true" t="shared" si="118" ref="J301:R301">SUM(J296:J300)</f>
        <v>0</v>
      </c>
      <c r="K301" s="248">
        <f t="shared" si="118"/>
        <v>0</v>
      </c>
      <c r="L301" s="248">
        <f t="shared" si="118"/>
        <v>0</v>
      </c>
      <c r="M301" s="248">
        <f t="shared" si="118"/>
        <v>0</v>
      </c>
      <c r="N301" s="248">
        <f t="shared" si="118"/>
        <v>0</v>
      </c>
      <c r="O301" s="248">
        <f t="shared" si="118"/>
        <v>0</v>
      </c>
      <c r="P301" s="248">
        <f t="shared" si="118"/>
        <v>0</v>
      </c>
      <c r="Q301" s="248">
        <f t="shared" si="118"/>
        <v>0</v>
      </c>
      <c r="R301" s="248">
        <f t="shared" si="118"/>
        <v>0</v>
      </c>
    </row>
    <row r="302" spans="2:8" s="8" customFormat="1" ht="12.75">
      <c r="B302" s="249"/>
      <c r="H302" s="28"/>
    </row>
    <row r="303" spans="2:18" s="8" customFormat="1" ht="12.75">
      <c r="B303" s="244" t="s">
        <v>239</v>
      </c>
      <c r="H303" s="28"/>
      <c r="I303" s="203">
        <f>-'Case Manager'!$K$19</f>
        <v>0</v>
      </c>
      <c r="J303" s="203">
        <f>-'Case Manager'!$K$19</f>
        <v>0</v>
      </c>
      <c r="K303" s="203">
        <f>-'Case Manager'!$K$19</f>
        <v>0</v>
      </c>
      <c r="L303" s="203">
        <f>-'Case Manager'!$K$19</f>
        <v>0</v>
      </c>
      <c r="M303" s="203">
        <f>-'Case Manager'!$K$19</f>
        <v>0</v>
      </c>
      <c r="N303" s="203">
        <f>-'Case Manager'!$K$19</f>
        <v>0</v>
      </c>
      <c r="O303" s="203">
        <f>-'Case Manager'!$K$19</f>
        <v>0</v>
      </c>
      <c r="P303" s="203">
        <f>-'Case Manager'!$K$19</f>
        <v>0</v>
      </c>
      <c r="Q303" s="203">
        <f>-'Case Manager'!$K$19</f>
        <v>0</v>
      </c>
      <c r="R303" s="203">
        <f>-'Case Manager'!$K$19</f>
        <v>0</v>
      </c>
    </row>
    <row r="304" spans="2:18" s="8" customFormat="1" ht="13.5" thickBot="1">
      <c r="B304" s="251" t="s">
        <v>240</v>
      </c>
      <c r="C304" s="4"/>
      <c r="D304" s="4"/>
      <c r="E304" s="4"/>
      <c r="F304" s="4"/>
      <c r="G304" s="4"/>
      <c r="H304" s="252"/>
      <c r="I304" s="254">
        <f>'Case Manager'!$K$20</f>
        <v>0</v>
      </c>
      <c r="J304" s="254">
        <f>'Case Manager'!$K$20</f>
        <v>0</v>
      </c>
      <c r="K304" s="254">
        <f>'Case Manager'!$K$20</f>
        <v>0</v>
      </c>
      <c r="L304" s="254">
        <f>'Case Manager'!$K$20</f>
        <v>0</v>
      </c>
      <c r="M304" s="254">
        <f>'Case Manager'!$K$20</f>
        <v>0</v>
      </c>
      <c r="N304" s="254">
        <f>'Case Manager'!$K$20</f>
        <v>0</v>
      </c>
      <c r="O304" s="254">
        <f>'Case Manager'!$K$20</f>
        <v>0</v>
      </c>
      <c r="P304" s="254">
        <f>'Case Manager'!$K$20</f>
        <v>0</v>
      </c>
      <c r="Q304" s="254">
        <f>'Case Manager'!$K$20</f>
        <v>0</v>
      </c>
      <c r="R304" s="254">
        <f>'Case Manager'!$K$20</f>
        <v>0</v>
      </c>
    </row>
    <row r="305" s="8" customFormat="1" ht="12.75">
      <c r="B305" s="249"/>
    </row>
    <row r="306" spans="1:18" ht="15.75">
      <c r="A306" s="76" t="s">
        <v>203</v>
      </c>
      <c r="B306" s="190" t="s">
        <v>171</v>
      </c>
      <c r="C306" s="190"/>
      <c r="D306" s="190"/>
      <c r="E306" s="190"/>
      <c r="F306" s="190"/>
      <c r="G306" s="190"/>
      <c r="H306" s="190"/>
      <c r="I306" s="190"/>
      <c r="J306" s="190"/>
      <c r="K306" s="190"/>
      <c r="L306" s="190"/>
      <c r="M306" s="190"/>
      <c r="N306" s="190"/>
      <c r="O306" s="190"/>
      <c r="P306" s="190"/>
      <c r="Q306" s="190"/>
      <c r="R306" s="190"/>
    </row>
    <row r="307" ht="12.75">
      <c r="B307" s="231" t="str">
        <f>'Case Manager'!$K$5</f>
        <v>($ in millions)</v>
      </c>
    </row>
    <row r="309" spans="2:18" ht="13.5">
      <c r="B309" s="2" t="str">
        <f>'Case Manager'!$D$65</f>
        <v>Base Case</v>
      </c>
      <c r="F309" s="33" t="s">
        <v>263</v>
      </c>
      <c r="G309" s="33" t="s">
        <v>264</v>
      </c>
      <c r="H309" s="33" t="s">
        <v>267</v>
      </c>
      <c r="I309" s="33" t="s">
        <v>268</v>
      </c>
      <c r="J309" s="33" t="s">
        <v>270</v>
      </c>
      <c r="K309" s="33" t="s">
        <v>269</v>
      </c>
      <c r="L309" s="303" t="s">
        <v>274</v>
      </c>
      <c r="M309" s="303" t="s">
        <v>275</v>
      </c>
      <c r="N309" s="303" t="s">
        <v>110</v>
      </c>
      <c r="O309" s="133"/>
      <c r="P309" s="303" t="s">
        <v>271</v>
      </c>
      <c r="Q309" s="303" t="s">
        <v>273</v>
      </c>
      <c r="R309" s="303" t="s">
        <v>277</v>
      </c>
    </row>
    <row r="310" spans="2:18" ht="13.5" thickBot="1">
      <c r="B310" s="4"/>
      <c r="C310" s="4"/>
      <c r="D310" s="4"/>
      <c r="E310" s="4"/>
      <c r="F310" s="273" t="s">
        <v>123</v>
      </c>
      <c r="G310" s="273" t="s">
        <v>179</v>
      </c>
      <c r="H310" s="273" t="s">
        <v>265</v>
      </c>
      <c r="I310" s="273" t="s">
        <v>266</v>
      </c>
      <c r="J310" s="273" t="s">
        <v>265</v>
      </c>
      <c r="K310" s="273" t="s">
        <v>179</v>
      </c>
      <c r="L310" s="304" t="s">
        <v>276</v>
      </c>
      <c r="M310" s="304" t="s">
        <v>276</v>
      </c>
      <c r="N310" s="304" t="s">
        <v>276</v>
      </c>
      <c r="O310" s="144"/>
      <c r="P310" s="304" t="s">
        <v>272</v>
      </c>
      <c r="Q310" s="304" t="s">
        <v>179</v>
      </c>
      <c r="R310" s="304" t="s">
        <v>278</v>
      </c>
    </row>
    <row r="311" spans="2:18" ht="12.75">
      <c r="B311" s="1" t="s">
        <v>262</v>
      </c>
      <c r="E311" s="1">
        <f>M111</f>
        <v>2010</v>
      </c>
      <c r="F311" s="271">
        <v>7</v>
      </c>
      <c r="G311" s="140">
        <f aca="true" t="shared" si="119" ref="G311:G317">$E$312*F311</f>
        <v>5595.7140754224165</v>
      </c>
      <c r="H311" s="140">
        <f>-$M$241</f>
        <v>-6463.412858119571</v>
      </c>
      <c r="I311" s="140">
        <f>$M$217-'Case Manager'!$G$69</f>
        <v>747</v>
      </c>
      <c r="J311" s="140">
        <f aca="true" t="shared" si="120" ref="J311:J317">H311+I311</f>
        <v>-5716.412858119571</v>
      </c>
      <c r="K311" s="140">
        <f>MAX(0,G311+J311)</f>
        <v>0</v>
      </c>
      <c r="L311" s="306">
        <f>IF(M311=0,$F$39,$G$39)</f>
        <v>1</v>
      </c>
      <c r="M311" s="306">
        <f>IF($G$40*Q311&gt;($G$40*(($D$41)/(1-$G$40))),$G$40,0)</f>
        <v>0</v>
      </c>
      <c r="N311" s="306">
        <f>L311+M311</f>
        <v>1</v>
      </c>
      <c r="O311" s="133"/>
      <c r="P311" s="258">
        <f>IF(M311=0,0,MAX(0,$G$40*(($D$41)/(1-$G$40))))</f>
        <v>0</v>
      </c>
      <c r="Q311" s="258">
        <f aca="true" t="shared" si="121" ref="Q311:Q317">K311+P311</f>
        <v>0</v>
      </c>
      <c r="R311" s="258">
        <f>M311*Q311-P311</f>
        <v>0</v>
      </c>
    </row>
    <row r="312" spans="2:18" ht="12.75">
      <c r="B312" s="1" t="s">
        <v>11</v>
      </c>
      <c r="E312" s="140">
        <f>M124</f>
        <v>799.3877250603452</v>
      </c>
      <c r="F312" s="272">
        <f aca="true" t="shared" si="122" ref="F312:F317">F311+0.5</f>
        <v>7.5</v>
      </c>
      <c r="G312" s="141">
        <f t="shared" si="119"/>
        <v>5995.407937952589</v>
      </c>
      <c r="H312" s="140">
        <f aca="true" t="shared" si="123" ref="H312:H317">-$M$241</f>
        <v>-6463.412858119571</v>
      </c>
      <c r="I312" s="140">
        <f>$M$217-'Case Manager'!$G$69</f>
        <v>747</v>
      </c>
      <c r="J312" s="140">
        <f t="shared" si="120"/>
        <v>-5716.412858119571</v>
      </c>
      <c r="K312" s="140">
        <f aca="true" t="shared" si="124" ref="K312:K317">MAX(0,G312+J312)</f>
        <v>278.9950798330183</v>
      </c>
      <c r="L312" s="306">
        <f aca="true" t="shared" si="125" ref="L312:L317">IF(M312=0,$F$39,$G$39)</f>
        <v>1</v>
      </c>
      <c r="M312" s="306">
        <f aca="true" t="shared" si="126" ref="M312:M317">IF($G$40*Q312&gt;($G$40*(($D$41)/(1-$G$40))),$G$40,0)</f>
        <v>0</v>
      </c>
      <c r="N312" s="306">
        <f aca="true" t="shared" si="127" ref="N312:N317">L312+M312</f>
        <v>1</v>
      </c>
      <c r="O312" s="133"/>
      <c r="P312" s="267">
        <f aca="true" t="shared" si="128" ref="P312:P317">IF(M312=0,0,MAX(0,$G$40*(($D$41)/(1-$G$40))))</f>
        <v>0</v>
      </c>
      <c r="Q312" s="267">
        <f t="shared" si="121"/>
        <v>278.9950798330183</v>
      </c>
      <c r="R312" s="267">
        <f aca="true" t="shared" si="129" ref="R312:R317">M312*Q312-P312</f>
        <v>0</v>
      </c>
    </row>
    <row r="313" spans="6:18" ht="12.75">
      <c r="F313" s="272">
        <f t="shared" si="122"/>
        <v>8</v>
      </c>
      <c r="G313" s="141">
        <f t="shared" si="119"/>
        <v>6395.101800482762</v>
      </c>
      <c r="H313" s="140">
        <f t="shared" si="123"/>
        <v>-6463.412858119571</v>
      </c>
      <c r="I313" s="140">
        <f>$M$217-'Case Manager'!$G$69</f>
        <v>747</v>
      </c>
      <c r="J313" s="140">
        <f t="shared" si="120"/>
        <v>-5716.412858119571</v>
      </c>
      <c r="K313" s="140">
        <f t="shared" si="124"/>
        <v>678.688942363191</v>
      </c>
      <c r="L313" s="306">
        <f t="shared" si="125"/>
        <v>1</v>
      </c>
      <c r="M313" s="306">
        <f t="shared" si="126"/>
        <v>0</v>
      </c>
      <c r="N313" s="306">
        <f t="shared" si="127"/>
        <v>1</v>
      </c>
      <c r="O313" s="133"/>
      <c r="P313" s="267">
        <f t="shared" si="128"/>
        <v>0</v>
      </c>
      <c r="Q313" s="267">
        <f t="shared" si="121"/>
        <v>678.688942363191</v>
      </c>
      <c r="R313" s="267">
        <f t="shared" si="129"/>
        <v>0</v>
      </c>
    </row>
    <row r="314" spans="6:18" ht="12.75">
      <c r="F314" s="272">
        <f t="shared" si="122"/>
        <v>8.5</v>
      </c>
      <c r="G314" s="141">
        <f t="shared" si="119"/>
        <v>6794.795663012935</v>
      </c>
      <c r="H314" s="140">
        <f t="shared" si="123"/>
        <v>-6463.412858119571</v>
      </c>
      <c r="I314" s="140">
        <f>$M$217-'Case Manager'!$G$69</f>
        <v>747</v>
      </c>
      <c r="J314" s="140">
        <f t="shared" si="120"/>
        <v>-5716.412858119571</v>
      </c>
      <c r="K314" s="140">
        <f t="shared" si="124"/>
        <v>1078.3828048933638</v>
      </c>
      <c r="L314" s="306">
        <f t="shared" si="125"/>
        <v>1</v>
      </c>
      <c r="M314" s="306">
        <f t="shared" si="126"/>
        <v>0</v>
      </c>
      <c r="N314" s="306">
        <f t="shared" si="127"/>
        <v>1</v>
      </c>
      <c r="O314" s="133"/>
      <c r="P314" s="267">
        <f t="shared" si="128"/>
        <v>0</v>
      </c>
      <c r="Q314" s="267">
        <f t="shared" si="121"/>
        <v>1078.3828048933638</v>
      </c>
      <c r="R314" s="267">
        <f t="shared" si="129"/>
        <v>0</v>
      </c>
    </row>
    <row r="315" spans="6:18" ht="12.75">
      <c r="F315" s="272">
        <f t="shared" si="122"/>
        <v>9</v>
      </c>
      <c r="G315" s="141">
        <f t="shared" si="119"/>
        <v>7194.489525543107</v>
      </c>
      <c r="H315" s="140">
        <f t="shared" si="123"/>
        <v>-6463.412858119571</v>
      </c>
      <c r="I315" s="140">
        <f>$M$217-'Case Manager'!$G$69</f>
        <v>747</v>
      </c>
      <c r="J315" s="140">
        <f t="shared" si="120"/>
        <v>-5716.412858119571</v>
      </c>
      <c r="K315" s="140">
        <f t="shared" si="124"/>
        <v>1478.0766674235365</v>
      </c>
      <c r="L315" s="306">
        <f t="shared" si="125"/>
        <v>0.9</v>
      </c>
      <c r="M315" s="306">
        <f t="shared" si="126"/>
        <v>0.1</v>
      </c>
      <c r="N315" s="306">
        <f t="shared" si="127"/>
        <v>1</v>
      </c>
      <c r="O315" s="133"/>
      <c r="P315" s="267">
        <f t="shared" si="128"/>
        <v>144.44444444444443</v>
      </c>
      <c r="Q315" s="267">
        <f t="shared" si="121"/>
        <v>1622.5211118679808</v>
      </c>
      <c r="R315" s="267">
        <f t="shared" si="129"/>
        <v>17.80766674235366</v>
      </c>
    </row>
    <row r="316" spans="6:18" ht="12.75">
      <c r="F316" s="272">
        <f t="shared" si="122"/>
        <v>9.5</v>
      </c>
      <c r="G316" s="141">
        <f t="shared" si="119"/>
        <v>7594.18338807328</v>
      </c>
      <c r="H316" s="140">
        <f t="shared" si="123"/>
        <v>-6463.412858119571</v>
      </c>
      <c r="I316" s="140">
        <f>$M$217-'Case Manager'!$G$69</f>
        <v>747</v>
      </c>
      <c r="J316" s="140">
        <f t="shared" si="120"/>
        <v>-5716.412858119571</v>
      </c>
      <c r="K316" s="140">
        <f t="shared" si="124"/>
        <v>1877.7705299537092</v>
      </c>
      <c r="L316" s="306">
        <f t="shared" si="125"/>
        <v>0.9</v>
      </c>
      <c r="M316" s="306">
        <f t="shared" si="126"/>
        <v>0.1</v>
      </c>
      <c r="N316" s="306">
        <f t="shared" si="127"/>
        <v>1</v>
      </c>
      <c r="O316" s="133"/>
      <c r="P316" s="267">
        <f t="shared" si="128"/>
        <v>144.44444444444443</v>
      </c>
      <c r="Q316" s="267">
        <f t="shared" si="121"/>
        <v>2022.2149743981536</v>
      </c>
      <c r="R316" s="267">
        <f t="shared" si="129"/>
        <v>57.77705299537095</v>
      </c>
    </row>
    <row r="317" spans="2:18" ht="13.5" thickBot="1">
      <c r="B317" s="4"/>
      <c r="C317" s="4"/>
      <c r="D317" s="4"/>
      <c r="E317" s="4"/>
      <c r="F317" s="275">
        <f t="shared" si="122"/>
        <v>10</v>
      </c>
      <c r="G317" s="254">
        <f t="shared" si="119"/>
        <v>7993.877250603453</v>
      </c>
      <c r="H317" s="116">
        <f t="shared" si="123"/>
        <v>-6463.412858119571</v>
      </c>
      <c r="I317" s="116">
        <f>$M$217-'Case Manager'!$G$69</f>
        <v>747</v>
      </c>
      <c r="J317" s="116">
        <f t="shared" si="120"/>
        <v>-5716.412858119571</v>
      </c>
      <c r="K317" s="116">
        <f t="shared" si="124"/>
        <v>2277.464392483882</v>
      </c>
      <c r="L317" s="307">
        <f t="shared" si="125"/>
        <v>0.9</v>
      </c>
      <c r="M317" s="307">
        <f t="shared" si="126"/>
        <v>0.1</v>
      </c>
      <c r="N317" s="307">
        <f t="shared" si="127"/>
        <v>1</v>
      </c>
      <c r="O317" s="144"/>
      <c r="P317" s="305">
        <f t="shared" si="128"/>
        <v>144.44444444444443</v>
      </c>
      <c r="Q317" s="305">
        <f t="shared" si="121"/>
        <v>2421.9088369283263</v>
      </c>
      <c r="R317" s="305">
        <f t="shared" si="129"/>
        <v>97.74643924838821</v>
      </c>
    </row>
    <row r="320" spans="2:11" ht="12.75">
      <c r="B320" s="137" t="s">
        <v>282</v>
      </c>
      <c r="C320" s="8"/>
      <c r="D320" s="8"/>
      <c r="E320" s="8"/>
      <c r="F320" s="8"/>
      <c r="G320" s="8"/>
      <c r="H320" s="8"/>
      <c r="I320" s="8"/>
      <c r="J320" s="8"/>
      <c r="K320" s="8"/>
    </row>
    <row r="321" s="8" customFormat="1" ht="12.75">
      <c r="J321" s="276"/>
    </row>
    <row r="322" spans="2:11" ht="13.5" thickBot="1">
      <c r="B322" s="288"/>
      <c r="C322" s="286">
        <f aca="true" t="shared" si="130" ref="C322:H322">H111</f>
        <v>2005</v>
      </c>
      <c r="D322" s="286">
        <f t="shared" si="130"/>
        <v>2006</v>
      </c>
      <c r="E322" s="286">
        <f t="shared" si="130"/>
        <v>2007</v>
      </c>
      <c r="F322" s="286">
        <f t="shared" si="130"/>
        <v>2008</v>
      </c>
      <c r="G322" s="286">
        <f t="shared" si="130"/>
        <v>2009</v>
      </c>
      <c r="H322" s="287">
        <f t="shared" si="130"/>
        <v>2010</v>
      </c>
      <c r="I322" s="4"/>
      <c r="J322" s="274" t="s">
        <v>279</v>
      </c>
      <c r="K322" s="274" t="s">
        <v>280</v>
      </c>
    </row>
    <row r="323" spans="2:11" ht="12.75">
      <c r="B323" s="277">
        <f aca="true" t="shared" si="131" ref="B323:B329">F311</f>
        <v>7</v>
      </c>
      <c r="C323" s="278">
        <f aca="true" t="shared" si="132" ref="C323:C329">-$K$10</f>
        <v>-1300</v>
      </c>
      <c r="D323" s="295">
        <v>0</v>
      </c>
      <c r="E323" s="295">
        <v>0</v>
      </c>
      <c r="F323" s="295">
        <v>0</v>
      </c>
      <c r="G323" s="295">
        <v>0</v>
      </c>
      <c r="H323" s="279">
        <f aca="true" t="shared" si="133" ref="H323:H329">L311*Q311</f>
        <v>0</v>
      </c>
      <c r="I323" s="280"/>
      <c r="J323" s="281" t="e">
        <f aca="true" t="shared" si="134" ref="J323:J329">IRR(C323:H323)</f>
        <v>#NUM!</v>
      </c>
      <c r="K323" s="280">
        <f aca="true" t="shared" si="135" ref="K323:K329">SUM(C323:H323)</f>
        <v>-1300</v>
      </c>
    </row>
    <row r="324" spans="2:11" ht="12.75">
      <c r="B324" s="277">
        <f t="shared" si="131"/>
        <v>7.5</v>
      </c>
      <c r="C324" s="282">
        <f t="shared" si="132"/>
        <v>-1300</v>
      </c>
      <c r="D324" s="296">
        <v>0</v>
      </c>
      <c r="E324" s="296">
        <v>0</v>
      </c>
      <c r="F324" s="296">
        <v>0</v>
      </c>
      <c r="G324" s="296">
        <v>0</v>
      </c>
      <c r="H324" s="283">
        <f t="shared" si="133"/>
        <v>278.9950798330183</v>
      </c>
      <c r="I324" s="280"/>
      <c r="J324" s="281">
        <f t="shared" si="134"/>
        <v>-0.2649267165478868</v>
      </c>
      <c r="K324" s="284">
        <f t="shared" si="135"/>
        <v>-1021.0049201669817</v>
      </c>
    </row>
    <row r="325" spans="2:11" ht="12.75">
      <c r="B325" s="277">
        <f t="shared" si="131"/>
        <v>8</v>
      </c>
      <c r="C325" s="282">
        <f t="shared" si="132"/>
        <v>-1300</v>
      </c>
      <c r="D325" s="296">
        <v>0</v>
      </c>
      <c r="E325" s="296">
        <v>0</v>
      </c>
      <c r="F325" s="296">
        <v>0</v>
      </c>
      <c r="G325" s="296">
        <v>0</v>
      </c>
      <c r="H325" s="283">
        <f t="shared" si="133"/>
        <v>678.688942363191</v>
      </c>
      <c r="I325" s="280"/>
      <c r="J325" s="281">
        <f t="shared" si="134"/>
        <v>-0.12189695284185986</v>
      </c>
      <c r="K325" s="284">
        <f t="shared" si="135"/>
        <v>-621.311057636809</v>
      </c>
    </row>
    <row r="326" spans="2:11" ht="12.75">
      <c r="B326" s="277">
        <f t="shared" si="131"/>
        <v>8.5</v>
      </c>
      <c r="C326" s="282">
        <f t="shared" si="132"/>
        <v>-1300</v>
      </c>
      <c r="D326" s="296">
        <v>0</v>
      </c>
      <c r="E326" s="296">
        <v>0</v>
      </c>
      <c r="F326" s="296">
        <v>0</v>
      </c>
      <c r="G326" s="296">
        <v>0</v>
      </c>
      <c r="H326" s="283">
        <f t="shared" si="133"/>
        <v>1078.3828048933638</v>
      </c>
      <c r="I326" s="280"/>
      <c r="J326" s="281">
        <f t="shared" si="134"/>
        <v>-0.03669032886956913</v>
      </c>
      <c r="K326" s="284">
        <f t="shared" si="135"/>
        <v>-221.61719510663625</v>
      </c>
    </row>
    <row r="327" spans="2:11" ht="12.75">
      <c r="B327" s="277">
        <f t="shared" si="131"/>
        <v>9</v>
      </c>
      <c r="C327" s="282">
        <f t="shared" si="132"/>
        <v>-1300</v>
      </c>
      <c r="D327" s="296">
        <v>0</v>
      </c>
      <c r="E327" s="296">
        <v>0</v>
      </c>
      <c r="F327" s="296">
        <v>0</v>
      </c>
      <c r="G327" s="296">
        <v>0</v>
      </c>
      <c r="H327" s="283">
        <f t="shared" si="133"/>
        <v>1460.269000681183</v>
      </c>
      <c r="I327" s="280"/>
      <c r="J327" s="281">
        <f t="shared" si="134"/>
        <v>0.02352369854222114</v>
      </c>
      <c r="K327" s="284">
        <f t="shared" si="135"/>
        <v>160.2690006811829</v>
      </c>
    </row>
    <row r="328" spans="2:11" ht="12.75">
      <c r="B328" s="277">
        <f t="shared" si="131"/>
        <v>9.5</v>
      </c>
      <c r="C328" s="282">
        <f t="shared" si="132"/>
        <v>-1300</v>
      </c>
      <c r="D328" s="296">
        <v>0</v>
      </c>
      <c r="E328" s="296">
        <v>0</v>
      </c>
      <c r="F328" s="296">
        <v>0</v>
      </c>
      <c r="G328" s="296">
        <v>0</v>
      </c>
      <c r="H328" s="283">
        <f t="shared" si="133"/>
        <v>1819.9934769583383</v>
      </c>
      <c r="I328" s="280"/>
      <c r="J328" s="281">
        <f t="shared" si="134"/>
        <v>0.06960960900825075</v>
      </c>
      <c r="K328" s="284">
        <f t="shared" si="135"/>
        <v>519.9934769583383</v>
      </c>
    </row>
    <row r="329" spans="2:11" ht="13.5" thickBot="1">
      <c r="B329" s="289">
        <f t="shared" si="131"/>
        <v>10</v>
      </c>
      <c r="C329" s="290">
        <f t="shared" si="132"/>
        <v>-1300</v>
      </c>
      <c r="D329" s="297">
        <v>0</v>
      </c>
      <c r="E329" s="297">
        <v>0</v>
      </c>
      <c r="F329" s="297">
        <v>0</v>
      </c>
      <c r="G329" s="297">
        <v>0</v>
      </c>
      <c r="H329" s="291">
        <f t="shared" si="133"/>
        <v>2179.717953235494</v>
      </c>
      <c r="I329" s="292"/>
      <c r="J329" s="293">
        <f t="shared" si="134"/>
        <v>0.10889746280162971</v>
      </c>
      <c r="K329" s="294">
        <f t="shared" si="135"/>
        <v>879.717953235494</v>
      </c>
    </row>
    <row r="330" spans="2:11" ht="12.75">
      <c r="B330" s="277"/>
      <c r="C330" s="8"/>
      <c r="D330" s="8"/>
      <c r="E330" s="8"/>
      <c r="F330" s="8"/>
      <c r="G330" s="8"/>
      <c r="H330" s="8"/>
      <c r="I330" s="8"/>
      <c r="J330" s="8"/>
      <c r="K330" s="8"/>
    </row>
    <row r="331" spans="2:11" ht="12.75">
      <c r="B331" s="137" t="s">
        <v>283</v>
      </c>
      <c r="C331" s="8"/>
      <c r="D331" s="8"/>
      <c r="E331" s="8"/>
      <c r="F331" s="8"/>
      <c r="G331" s="8"/>
      <c r="H331" s="8"/>
      <c r="I331" s="8"/>
      <c r="J331" s="285" t="s">
        <v>279</v>
      </c>
      <c r="K331" s="285" t="s">
        <v>280</v>
      </c>
    </row>
    <row r="332" spans="2:11" ht="12.75">
      <c r="B332" s="277"/>
      <c r="C332" s="8"/>
      <c r="D332" s="8"/>
      <c r="E332" s="8"/>
      <c r="F332" s="8"/>
      <c r="G332" s="8"/>
      <c r="H332" s="8"/>
      <c r="I332" s="8"/>
      <c r="J332" s="276" t="s">
        <v>281</v>
      </c>
      <c r="K332" s="285" t="s">
        <v>281</v>
      </c>
    </row>
    <row r="333" spans="2:11" ht="13.5" thickBot="1">
      <c r="B333" s="288"/>
      <c r="C333" s="286">
        <v>2004</v>
      </c>
      <c r="D333" s="286">
        <v>2005</v>
      </c>
      <c r="E333" s="286">
        <v>2006</v>
      </c>
      <c r="F333" s="286">
        <v>2007</v>
      </c>
      <c r="G333" s="286">
        <v>2008</v>
      </c>
      <c r="H333" s="287">
        <v>2009</v>
      </c>
      <c r="I333" s="4"/>
      <c r="J333" s="274" t="s">
        <v>284</v>
      </c>
      <c r="K333" s="274" t="s">
        <v>284</v>
      </c>
    </row>
    <row r="334" spans="2:11" ht="12.75">
      <c r="B334" s="277">
        <f aca="true" t="shared" si="136" ref="B334:B340">B323</f>
        <v>7</v>
      </c>
      <c r="C334" s="278">
        <f aca="true" t="shared" si="137" ref="C334:C340">C323+$F$47</f>
        <v>-1219</v>
      </c>
      <c r="D334" s="295">
        <v>0</v>
      </c>
      <c r="E334" s="295">
        <v>0</v>
      </c>
      <c r="F334" s="295">
        <v>0</v>
      </c>
      <c r="G334" s="295">
        <v>0</v>
      </c>
      <c r="H334" s="279">
        <f aca="true" t="shared" si="138" ref="H334:H340">L311*Q311</f>
        <v>0</v>
      </c>
      <c r="I334" s="280"/>
      <c r="J334" s="281" t="e">
        <f aca="true" t="shared" si="139" ref="J334:J340">IRR(C334:H334)</f>
        <v>#NUM!</v>
      </c>
      <c r="K334" s="280">
        <f aca="true" t="shared" si="140" ref="K334:K340">SUM(C334:H334)</f>
        <v>-1219</v>
      </c>
    </row>
    <row r="335" spans="2:11" ht="12.75">
      <c r="B335" s="277">
        <f t="shared" si="136"/>
        <v>7.5</v>
      </c>
      <c r="C335" s="282">
        <f t="shared" si="137"/>
        <v>-1219</v>
      </c>
      <c r="D335" s="296">
        <v>0</v>
      </c>
      <c r="E335" s="296">
        <v>0</v>
      </c>
      <c r="F335" s="296">
        <v>0</v>
      </c>
      <c r="G335" s="296">
        <v>0</v>
      </c>
      <c r="H335" s="283">
        <f t="shared" si="138"/>
        <v>278.9950798330183</v>
      </c>
      <c r="I335" s="280"/>
      <c r="J335" s="281">
        <f t="shared" si="139"/>
        <v>-0.2554076537197727</v>
      </c>
      <c r="K335" s="284">
        <f t="shared" si="140"/>
        <v>-940.0049201669817</v>
      </c>
    </row>
    <row r="336" spans="2:11" ht="12.75">
      <c r="B336" s="277">
        <f t="shared" si="136"/>
        <v>8</v>
      </c>
      <c r="C336" s="282">
        <f t="shared" si="137"/>
        <v>-1219</v>
      </c>
      <c r="D336" s="296">
        <v>0</v>
      </c>
      <c r="E336" s="296">
        <v>0</v>
      </c>
      <c r="F336" s="296">
        <v>0</v>
      </c>
      <c r="G336" s="296">
        <v>0</v>
      </c>
      <c r="H336" s="283">
        <f t="shared" si="138"/>
        <v>678.688942363191</v>
      </c>
      <c r="I336" s="280"/>
      <c r="J336" s="281">
        <f t="shared" si="139"/>
        <v>-0.11052568107901062</v>
      </c>
      <c r="K336" s="284">
        <f t="shared" si="140"/>
        <v>-540.311057636809</v>
      </c>
    </row>
    <row r="337" spans="2:11" ht="12.75">
      <c r="B337" s="277">
        <f t="shared" si="136"/>
        <v>8.5</v>
      </c>
      <c r="C337" s="282">
        <f t="shared" si="137"/>
        <v>-1219</v>
      </c>
      <c r="D337" s="296">
        <v>0</v>
      </c>
      <c r="E337" s="296">
        <v>0</v>
      </c>
      <c r="F337" s="296">
        <v>0</v>
      </c>
      <c r="G337" s="296">
        <v>0</v>
      </c>
      <c r="H337" s="283">
        <f t="shared" si="138"/>
        <v>1078.3828048933638</v>
      </c>
      <c r="I337" s="280"/>
      <c r="J337" s="281">
        <f t="shared" si="139"/>
        <v>-0.024215647113432825</v>
      </c>
      <c r="K337" s="284">
        <f t="shared" si="140"/>
        <v>-140.61719510663625</v>
      </c>
    </row>
    <row r="338" spans="2:11" ht="12.75">
      <c r="B338" s="277">
        <f t="shared" si="136"/>
        <v>9</v>
      </c>
      <c r="C338" s="282">
        <f t="shared" si="137"/>
        <v>-1219</v>
      </c>
      <c r="D338" s="296">
        <v>0</v>
      </c>
      <c r="E338" s="296">
        <v>0</v>
      </c>
      <c r="F338" s="296">
        <v>0</v>
      </c>
      <c r="G338" s="296">
        <v>0</v>
      </c>
      <c r="H338" s="283">
        <f t="shared" si="138"/>
        <v>1460.269000681183</v>
      </c>
      <c r="I338" s="280"/>
      <c r="J338" s="281">
        <f t="shared" si="139"/>
        <v>0.03677814079873798</v>
      </c>
      <c r="K338" s="284">
        <f t="shared" si="140"/>
        <v>241.2690006811829</v>
      </c>
    </row>
    <row r="339" spans="2:11" ht="12.75">
      <c r="B339" s="277">
        <f t="shared" si="136"/>
        <v>9.5</v>
      </c>
      <c r="C339" s="282">
        <f t="shared" si="137"/>
        <v>-1219</v>
      </c>
      <c r="D339" s="296">
        <v>0</v>
      </c>
      <c r="E339" s="296">
        <v>0</v>
      </c>
      <c r="F339" s="296">
        <v>0</v>
      </c>
      <c r="G339" s="296">
        <v>0</v>
      </c>
      <c r="H339" s="283">
        <f t="shared" si="138"/>
        <v>1819.9934769583383</v>
      </c>
      <c r="I339" s="280"/>
      <c r="J339" s="281">
        <f t="shared" si="139"/>
        <v>0.08346085526506752</v>
      </c>
      <c r="K339" s="284">
        <f t="shared" si="140"/>
        <v>600.9934769583383</v>
      </c>
    </row>
    <row r="340" spans="2:11" ht="13.5" thickBot="1">
      <c r="B340" s="289">
        <f t="shared" si="136"/>
        <v>10</v>
      </c>
      <c r="C340" s="290">
        <f t="shared" si="137"/>
        <v>-1219</v>
      </c>
      <c r="D340" s="297">
        <v>0</v>
      </c>
      <c r="E340" s="297">
        <v>0</v>
      </c>
      <c r="F340" s="297">
        <v>0</v>
      </c>
      <c r="G340" s="297">
        <v>0</v>
      </c>
      <c r="H340" s="291">
        <f t="shared" si="138"/>
        <v>2179.717953235494</v>
      </c>
      <c r="I340" s="292"/>
      <c r="J340" s="293">
        <f t="shared" si="139"/>
        <v>0.12325747948008892</v>
      </c>
      <c r="K340" s="294">
        <f t="shared" si="140"/>
        <v>960.717953235494</v>
      </c>
    </row>
  </sheetData>
  <sheetProtection/>
  <printOptions/>
  <pageMargins left="0.25" right="0.25" top="0.5" bottom="0.5" header="0.25" footer="0.25"/>
  <pageSetup horizontalDpi="600" verticalDpi="600" orientation="landscape" scale="75" r:id="rId1"/>
  <headerFooter alignWithMargins="0">
    <oddHeader>&amp;L&amp;"Times New Roman,Bold"TOYS R US LBO MODEL</oddHeader>
    <oddFooter>&amp;R&amp;"Times New Roman,Regular"&amp;8Page &amp;P &amp;D / &amp;T</oddFooter>
  </headerFooter>
</worksheet>
</file>

<file path=xl/worksheets/sheet18.xml><?xml version="1.0" encoding="utf-8"?>
<worksheet xmlns="http://schemas.openxmlformats.org/spreadsheetml/2006/main" xmlns:r="http://schemas.openxmlformats.org/officeDocument/2006/relationships">
  <sheetPr>
    <tabColor indexed="16"/>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J28"/>
  <sheetViews>
    <sheetView showGridLines="0" zoomScalePageLayoutView="0" workbookViewId="0" topLeftCell="A1">
      <selection activeCell="A1" sqref="A1"/>
    </sheetView>
  </sheetViews>
  <sheetFormatPr defaultColWidth="10.7109375" defaultRowHeight="12.75"/>
  <cols>
    <col min="1" max="16384" width="10.7109375" style="1" customWidth="1"/>
  </cols>
  <sheetData>
    <row r="1" spans="2:10" ht="15.75">
      <c r="B1" s="181" t="s">
        <v>318</v>
      </c>
      <c r="C1" s="177"/>
      <c r="D1" s="177"/>
      <c r="E1" s="177"/>
      <c r="F1" s="177"/>
      <c r="G1" s="177"/>
      <c r="H1" s="177"/>
      <c r="I1" s="177"/>
      <c r="J1" s="177"/>
    </row>
    <row r="2" s="133" customFormat="1" ht="15.75">
      <c r="B2" s="182"/>
    </row>
    <row r="3" ht="13.5">
      <c r="B3" s="2" t="s">
        <v>319</v>
      </c>
    </row>
    <row r="4" ht="12.75">
      <c r="B4" s="5" t="str">
        <f>'Summary of Consolidated Fins'!B3</f>
        <v>($ in millions)</v>
      </c>
    </row>
    <row r="5" ht="12.75">
      <c r="B5" s="5"/>
    </row>
    <row r="6" ht="13.5">
      <c r="B6" s="2" t="str">
        <f>'Case Manager'!$D$65</f>
        <v>Base Case</v>
      </c>
    </row>
    <row r="7" s="8" customFormat="1" ht="13.5">
      <c r="B7" s="337"/>
    </row>
    <row r="8" spans="2:10" s="8" customFormat="1" ht="13.5">
      <c r="B8" s="2" t="s">
        <v>339</v>
      </c>
      <c r="C8" s="1"/>
      <c r="D8" s="1"/>
      <c r="E8" s="1"/>
      <c r="F8" s="1"/>
      <c r="G8" s="1"/>
      <c r="H8" s="1"/>
      <c r="I8" s="1"/>
      <c r="J8" s="1"/>
    </row>
    <row r="9" spans="2:10" s="8" customFormat="1" ht="12.75">
      <c r="B9" s="1" t="s">
        <v>0</v>
      </c>
      <c r="C9" s="1"/>
      <c r="D9" s="1"/>
      <c r="E9" s="1"/>
      <c r="F9" s="1"/>
      <c r="G9" s="1"/>
      <c r="H9" s="1"/>
      <c r="I9" s="313" t="s">
        <v>340</v>
      </c>
      <c r="J9" s="1"/>
    </row>
    <row r="10" spans="2:10" s="8" customFormat="1" ht="13.5" thickBot="1">
      <c r="B10" s="4"/>
      <c r="C10" s="4"/>
      <c r="D10" s="4"/>
      <c r="E10" s="4"/>
      <c r="F10" s="274" t="s">
        <v>341</v>
      </c>
      <c r="G10" s="4"/>
      <c r="H10" s="4"/>
      <c r="I10" s="273" t="s">
        <v>342</v>
      </c>
      <c r="J10" s="4"/>
    </row>
    <row r="11" spans="2:10" s="8" customFormat="1" ht="12.75">
      <c r="B11" s="1" t="s">
        <v>343</v>
      </c>
      <c r="C11" s="1"/>
      <c r="D11" s="1"/>
      <c r="E11" s="1"/>
      <c r="F11" s="11">
        <f>SUM('LBO Model'!R5:R8,'LBO Model'!R10)</f>
        <v>6294</v>
      </c>
      <c r="G11" s="1"/>
      <c r="H11" s="1"/>
      <c r="I11" s="76"/>
      <c r="J11" s="1"/>
    </row>
    <row r="12" spans="2:10" s="8" customFormat="1" ht="12.75">
      <c r="B12" s="1" t="s">
        <v>344</v>
      </c>
      <c r="C12" s="1"/>
      <c r="D12" s="1"/>
      <c r="E12" s="1"/>
      <c r="F12" s="21">
        <f>'LBO Model'!R14</f>
        <v>2312</v>
      </c>
      <c r="G12" s="1"/>
      <c r="H12" s="1"/>
      <c r="I12" s="76"/>
      <c r="J12" s="1"/>
    </row>
    <row r="13" spans="2:10" s="8" customFormat="1" ht="12.75">
      <c r="B13" s="10" t="s">
        <v>188</v>
      </c>
      <c r="C13" s="10"/>
      <c r="D13" s="10"/>
      <c r="E13" s="10"/>
      <c r="F13" s="17">
        <f>'LBO Model'!F12</f>
        <v>-1247</v>
      </c>
      <c r="G13" s="10"/>
      <c r="H13" s="10"/>
      <c r="I13" s="130"/>
      <c r="J13" s="10"/>
    </row>
    <row r="14" spans="2:10" s="8" customFormat="1" ht="12.75">
      <c r="B14" s="1" t="s">
        <v>176</v>
      </c>
      <c r="C14" s="1"/>
      <c r="D14" s="1"/>
      <c r="E14" s="1"/>
      <c r="F14" s="11">
        <f>SUM(F11:F13)</f>
        <v>7359</v>
      </c>
      <c r="G14" s="1"/>
      <c r="H14" s="1"/>
      <c r="I14" s="338">
        <f>F14/$F$18</f>
        <v>9.434615384615384</v>
      </c>
      <c r="J14" s="1"/>
    </row>
    <row r="15" spans="2:10" s="8" customFormat="1" ht="12.75">
      <c r="B15" s="10" t="s">
        <v>146</v>
      </c>
      <c r="C15" s="10"/>
      <c r="D15" s="10"/>
      <c r="E15" s="10"/>
      <c r="F15" s="17">
        <f>'LBO Model'!R9</f>
        <v>362</v>
      </c>
      <c r="G15" s="10"/>
      <c r="H15" s="10"/>
      <c r="I15" s="130"/>
      <c r="J15" s="10"/>
    </row>
    <row r="16" spans="2:10" s="8" customFormat="1" ht="12.75">
      <c r="B16" s="96" t="s">
        <v>345</v>
      </c>
      <c r="C16" s="96"/>
      <c r="D16" s="96"/>
      <c r="E16" s="96"/>
      <c r="F16" s="97">
        <f>F14+F15</f>
        <v>7721</v>
      </c>
      <c r="G16" s="96"/>
      <c r="H16" s="96"/>
      <c r="I16" s="339">
        <f>F16/$F$18</f>
        <v>9.898717948717948</v>
      </c>
      <c r="J16" s="1"/>
    </row>
    <row r="17" spans="2:10" s="8" customFormat="1" ht="12.75">
      <c r="B17" s="1"/>
      <c r="C17" s="1"/>
      <c r="D17" s="1"/>
      <c r="E17" s="1"/>
      <c r="F17" s="1"/>
      <c r="G17" s="1"/>
      <c r="H17" s="1"/>
      <c r="I17" s="76"/>
      <c r="J17" s="1"/>
    </row>
    <row r="18" spans="2:10" s="8" customFormat="1" ht="12.75">
      <c r="B18" s="1" t="s">
        <v>346</v>
      </c>
      <c r="C18" s="1"/>
      <c r="D18" s="1"/>
      <c r="E18" s="1"/>
      <c r="F18" s="11">
        <f>'LBO Model'!F17</f>
        <v>780</v>
      </c>
      <c r="G18" s="1"/>
      <c r="H18" s="1"/>
      <c r="I18" s="76"/>
      <c r="J18" s="1"/>
    </row>
    <row r="19" spans="2:10" s="8" customFormat="1" ht="12.75">
      <c r="B19" s="1"/>
      <c r="C19" s="1"/>
      <c r="D19" s="1"/>
      <c r="E19" s="1"/>
      <c r="F19" s="1"/>
      <c r="G19" s="1"/>
      <c r="H19" s="1"/>
      <c r="I19" s="76"/>
      <c r="J19" s="1"/>
    </row>
    <row r="20" spans="2:10" s="8" customFormat="1" ht="13.5">
      <c r="B20" s="2" t="s">
        <v>347</v>
      </c>
      <c r="C20" s="1"/>
      <c r="D20" s="1"/>
      <c r="E20" s="1"/>
      <c r="F20" s="1"/>
      <c r="G20" s="1"/>
      <c r="H20" s="1"/>
      <c r="I20" s="33" t="s">
        <v>348</v>
      </c>
      <c r="J20" s="1"/>
    </row>
    <row r="21" spans="2:9" ht="12.75">
      <c r="B21" s="1" t="s">
        <v>344</v>
      </c>
      <c r="F21" s="11">
        <f>'LBO Model'!R14</f>
        <v>2312</v>
      </c>
      <c r="I21" s="338">
        <f>SUM(F$21:F21)/$F$18</f>
        <v>2.9641025641025642</v>
      </c>
    </row>
    <row r="22" spans="2:9" ht="12.75">
      <c r="B22" s="1" t="s">
        <v>349</v>
      </c>
      <c r="F22" s="21">
        <f>'LBO Model'!F26</f>
        <v>700</v>
      </c>
      <c r="I22" s="338">
        <f>SUM(F$21:F22)/$F$18</f>
        <v>3.8615384615384616</v>
      </c>
    </row>
    <row r="23" spans="2:9" ht="12.75">
      <c r="B23" s="1" t="s">
        <v>141</v>
      </c>
      <c r="F23" s="21">
        <f>'LBO Model'!F27</f>
        <v>1900</v>
      </c>
      <c r="I23" s="338">
        <f>SUM(F$21:F23)/$F$18</f>
        <v>6.297435897435897</v>
      </c>
    </row>
    <row r="24" spans="2:9" ht="12.75">
      <c r="B24" s="1" t="s">
        <v>143</v>
      </c>
      <c r="F24" s="21">
        <f>'LBO Model'!F28</f>
        <v>1000</v>
      </c>
      <c r="I24" s="338">
        <f>SUM(F$21:F24)/$F$18</f>
        <v>7.579487179487179</v>
      </c>
    </row>
    <row r="25" spans="2:10" ht="12.75">
      <c r="B25" s="10" t="s">
        <v>145</v>
      </c>
      <c r="C25" s="10"/>
      <c r="D25" s="10"/>
      <c r="E25" s="10"/>
      <c r="F25" s="17">
        <f>'LBO Model'!F29</f>
        <v>800</v>
      </c>
      <c r="G25" s="10"/>
      <c r="H25" s="10"/>
      <c r="I25" s="340">
        <f>SUM(F$21:F25)/$F$18</f>
        <v>8.605128205128205</v>
      </c>
      <c r="J25" s="10"/>
    </row>
    <row r="26" spans="2:10" ht="12.75">
      <c r="B26" s="174" t="s">
        <v>110</v>
      </c>
      <c r="C26" s="174"/>
      <c r="D26" s="174"/>
      <c r="E26" s="174"/>
      <c r="F26" s="341">
        <f>SUM(F21:F25)</f>
        <v>6712</v>
      </c>
      <c r="G26" s="174"/>
      <c r="H26" s="174"/>
      <c r="I26" s="342">
        <f>F26/$F$18</f>
        <v>8.605128205128205</v>
      </c>
      <c r="J26" s="174"/>
    </row>
    <row r="27" spans="2:10" ht="12.75">
      <c r="B27" s="10" t="s">
        <v>188</v>
      </c>
      <c r="C27" s="10"/>
      <c r="D27" s="10"/>
      <c r="E27" s="10"/>
      <c r="F27" s="17">
        <f>F13</f>
        <v>-1247</v>
      </c>
      <c r="G27" s="10"/>
      <c r="H27" s="10"/>
      <c r="I27" s="340">
        <f>F27/$F$18</f>
        <v>-1.5987179487179488</v>
      </c>
      <c r="J27" s="10"/>
    </row>
    <row r="28" spans="2:10" ht="13.5" thickBot="1">
      <c r="B28" s="228" t="s">
        <v>350</v>
      </c>
      <c r="C28" s="228"/>
      <c r="D28" s="228"/>
      <c r="E28" s="228"/>
      <c r="F28" s="343">
        <f>F26+F27</f>
        <v>5465</v>
      </c>
      <c r="G28" s="228"/>
      <c r="H28" s="228"/>
      <c r="I28" s="344">
        <f>F28/$F$18</f>
        <v>7.006410256410256</v>
      </c>
      <c r="J28" s="228"/>
    </row>
  </sheetData>
  <sheetProtection/>
  <printOptions/>
  <pageMargins left="0.5" right="0.5" top="0.5" bottom="0.5" header="0.5" footer="0.5"/>
  <pageSetup horizontalDpi="600" verticalDpi="600" orientation="landscape" scale="90" r:id="rId1"/>
  <headerFooter alignWithMargins="0">
    <oddFooter>&amp;R&amp;"Times New Roman,Regular"&amp;8Page &amp;P &amp;D /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M29"/>
  <sheetViews>
    <sheetView showGridLines="0" zoomScalePageLayoutView="0" workbookViewId="0" topLeftCell="A1">
      <selection activeCell="A1" sqref="A1"/>
    </sheetView>
  </sheetViews>
  <sheetFormatPr defaultColWidth="9.140625" defaultRowHeight="12.75"/>
  <cols>
    <col min="1" max="1" width="9.140625" style="1" customWidth="1"/>
    <col min="2" max="2" width="4.140625" style="1" customWidth="1"/>
    <col min="3" max="6" width="9.140625" style="1" customWidth="1"/>
    <col min="7" max="7" width="9.421875" style="1" bestFit="1" customWidth="1"/>
    <col min="8" max="8" width="9.57421875" style="1" bestFit="1" customWidth="1"/>
    <col min="9" max="9" width="9.57421875" style="1" customWidth="1"/>
    <col min="10" max="10" width="9.140625" style="1" customWidth="1"/>
    <col min="11" max="11" width="9.28125" style="1" bestFit="1" customWidth="1"/>
    <col min="12" max="12" width="9.140625" style="1" customWidth="1"/>
    <col min="13" max="13" width="17.8515625" style="1" customWidth="1"/>
    <col min="14" max="16384" width="9.140625" style="1" customWidth="1"/>
  </cols>
  <sheetData>
    <row r="2" spans="2:13" ht="13.5">
      <c r="B2" s="2" t="s">
        <v>308</v>
      </c>
      <c r="M2" s="2"/>
    </row>
    <row r="3" spans="2:13" ht="14.25" thickBot="1">
      <c r="B3" s="3"/>
      <c r="C3" s="4"/>
      <c r="D3" s="4"/>
      <c r="E3" s="4"/>
      <c r="F3" s="4"/>
      <c r="G3" s="4"/>
      <c r="H3" s="4"/>
      <c r="I3" s="4"/>
      <c r="J3" s="4"/>
      <c r="K3" s="4"/>
      <c r="L3" s="4"/>
      <c r="M3" s="4"/>
    </row>
    <row r="4" ht="12.75">
      <c r="B4" s="1" t="s">
        <v>333</v>
      </c>
    </row>
    <row r="5" ht="12.75">
      <c r="C5" s="30" t="s">
        <v>321</v>
      </c>
    </row>
    <row r="6" ht="12.75">
      <c r="C6" s="1" t="s">
        <v>322</v>
      </c>
    </row>
    <row r="7" ht="12.75">
      <c r="C7" s="1" t="s">
        <v>323</v>
      </c>
    </row>
    <row r="8" ht="12.75">
      <c r="C8" s="1" t="s">
        <v>356</v>
      </c>
    </row>
    <row r="10" ht="12.75">
      <c r="B10" s="1" t="s">
        <v>334</v>
      </c>
    </row>
    <row r="11" ht="12.75">
      <c r="C11" s="1" t="s">
        <v>324</v>
      </c>
    </row>
    <row r="12" ht="12.75">
      <c r="C12" s="30" t="s">
        <v>336</v>
      </c>
    </row>
    <row r="13" ht="12.75">
      <c r="C13" s="1" t="s">
        <v>325</v>
      </c>
    </row>
    <row r="14" ht="12.75">
      <c r="C14" s="1" t="s">
        <v>357</v>
      </c>
    </row>
    <row r="15" ht="12.75">
      <c r="C15" s="1" t="s">
        <v>358</v>
      </c>
    </row>
    <row r="16" spans="2:13" ht="12.75">
      <c r="B16" s="8"/>
      <c r="C16" s="8" t="s">
        <v>326</v>
      </c>
      <c r="D16" s="8"/>
      <c r="E16" s="8"/>
      <c r="F16" s="8"/>
      <c r="G16" s="8"/>
      <c r="H16" s="8"/>
      <c r="I16" s="8"/>
      <c r="J16" s="8"/>
      <c r="K16" s="8"/>
      <c r="L16" s="8"/>
      <c r="M16" s="8"/>
    </row>
    <row r="17" spans="2:13" ht="12.75">
      <c r="B17" s="8"/>
      <c r="C17" s="8" t="s">
        <v>328</v>
      </c>
      <c r="D17" s="8"/>
      <c r="E17" s="8"/>
      <c r="F17" s="8"/>
      <c r="G17" s="8"/>
      <c r="H17" s="8"/>
      <c r="I17" s="8"/>
      <c r="J17" s="8"/>
      <c r="K17" s="8"/>
      <c r="L17" s="8"/>
      <c r="M17" s="8"/>
    </row>
    <row r="18" spans="2:13" ht="12.75">
      <c r="B18" s="8"/>
      <c r="C18" s="8" t="s">
        <v>335</v>
      </c>
      <c r="D18" s="8"/>
      <c r="E18" s="8"/>
      <c r="F18" s="8"/>
      <c r="G18" s="8"/>
      <c r="H18" s="8"/>
      <c r="I18" s="8"/>
      <c r="J18" s="8"/>
      <c r="K18" s="8"/>
      <c r="L18" s="8"/>
      <c r="M18" s="8"/>
    </row>
    <row r="19" spans="2:13" ht="12.75">
      <c r="B19" s="8"/>
      <c r="C19" s="48" t="s">
        <v>327</v>
      </c>
      <c r="D19" s="8"/>
      <c r="E19" s="8"/>
      <c r="F19" s="8"/>
      <c r="G19" s="8"/>
      <c r="H19" s="8"/>
      <c r="I19" s="8"/>
      <c r="J19" s="8"/>
      <c r="K19" s="8"/>
      <c r="L19" s="8"/>
      <c r="M19" s="8"/>
    </row>
    <row r="20" spans="2:13" ht="12.75">
      <c r="B20" s="8"/>
      <c r="C20" s="8"/>
      <c r="D20" s="8"/>
      <c r="E20" s="8"/>
      <c r="F20" s="8"/>
      <c r="G20" s="8"/>
      <c r="H20" s="8"/>
      <c r="I20" s="8"/>
      <c r="J20" s="8"/>
      <c r="K20" s="8"/>
      <c r="L20" s="8"/>
      <c r="M20" s="8"/>
    </row>
    <row r="21" spans="2:13" ht="12.75">
      <c r="B21" s="1" t="s">
        <v>329</v>
      </c>
      <c r="C21" s="8"/>
      <c r="D21" s="8"/>
      <c r="E21" s="8"/>
      <c r="F21" s="8"/>
      <c r="G21" s="8"/>
      <c r="H21" s="8"/>
      <c r="I21" s="8"/>
      <c r="J21" s="8"/>
      <c r="K21" s="8"/>
      <c r="L21" s="8"/>
      <c r="M21" s="8"/>
    </row>
    <row r="22" spans="2:13" ht="12.75">
      <c r="B22" s="8"/>
      <c r="C22" s="30" t="s">
        <v>337</v>
      </c>
      <c r="D22" s="8"/>
      <c r="E22" s="8"/>
      <c r="F22" s="8"/>
      <c r="G22" s="8"/>
      <c r="H22" s="8"/>
      <c r="I22" s="8"/>
      <c r="J22" s="8"/>
      <c r="K22" s="8"/>
      <c r="L22" s="8"/>
      <c r="M22" s="8"/>
    </row>
    <row r="23" spans="2:13" ht="12.75">
      <c r="B23" s="8"/>
      <c r="C23" s="1" t="s">
        <v>330</v>
      </c>
      <c r="D23" s="8"/>
      <c r="E23" s="8"/>
      <c r="F23" s="8"/>
      <c r="G23" s="8"/>
      <c r="H23" s="8"/>
      <c r="I23" s="8"/>
      <c r="J23" s="8"/>
      <c r="K23" s="8"/>
      <c r="L23" s="8"/>
      <c r="M23" s="8"/>
    </row>
    <row r="24" spans="2:13" ht="12.75">
      <c r="B24" s="8"/>
      <c r="C24" s="30" t="s">
        <v>331</v>
      </c>
      <c r="D24" s="8"/>
      <c r="E24" s="8"/>
      <c r="F24" s="8"/>
      <c r="G24" s="8"/>
      <c r="H24" s="8"/>
      <c r="I24" s="8"/>
      <c r="J24" s="8"/>
      <c r="K24" s="8"/>
      <c r="L24" s="8"/>
      <c r="M24" s="8"/>
    </row>
    <row r="25" spans="2:13" ht="12.75">
      <c r="B25" s="8"/>
      <c r="D25" s="8"/>
      <c r="E25" s="8"/>
      <c r="F25" s="8"/>
      <c r="G25" s="8"/>
      <c r="H25" s="8"/>
      <c r="I25" s="8"/>
      <c r="J25" s="8"/>
      <c r="K25" s="8"/>
      <c r="L25" s="8"/>
      <c r="M25" s="8"/>
    </row>
    <row r="26" spans="2:13" ht="12.75">
      <c r="B26" s="1" t="s">
        <v>338</v>
      </c>
      <c r="D26" s="8"/>
      <c r="E26" s="8"/>
      <c r="F26" s="8"/>
      <c r="G26" s="8"/>
      <c r="H26" s="8"/>
      <c r="I26" s="8"/>
      <c r="J26" s="8"/>
      <c r="K26" s="8"/>
      <c r="L26" s="8"/>
      <c r="M26" s="8"/>
    </row>
    <row r="27" spans="2:13" ht="12.75">
      <c r="B27" s="8"/>
      <c r="C27" s="1" t="s">
        <v>332</v>
      </c>
      <c r="D27" s="8"/>
      <c r="E27" s="8"/>
      <c r="F27" s="8"/>
      <c r="G27" s="8"/>
      <c r="H27" s="8"/>
      <c r="I27" s="8"/>
      <c r="J27" s="8"/>
      <c r="K27" s="8"/>
      <c r="L27" s="8"/>
      <c r="M27" s="8"/>
    </row>
    <row r="28" spans="2:13" ht="13.5" thickBot="1">
      <c r="B28" s="4"/>
      <c r="C28" s="4"/>
      <c r="D28" s="4"/>
      <c r="E28" s="4"/>
      <c r="F28" s="4"/>
      <c r="G28" s="4"/>
      <c r="H28" s="4"/>
      <c r="I28" s="4"/>
      <c r="J28" s="4"/>
      <c r="K28" s="4"/>
      <c r="L28" s="4"/>
      <c r="M28" s="4"/>
    </row>
    <row r="29" spans="2:11" ht="12.75">
      <c r="B29" s="8"/>
      <c r="C29" s="8"/>
      <c r="D29" s="8"/>
      <c r="E29" s="8"/>
      <c r="F29" s="8"/>
      <c r="G29" s="8"/>
      <c r="H29" s="8"/>
      <c r="I29" s="8"/>
      <c r="J29" s="8"/>
      <c r="K29" s="8"/>
    </row>
  </sheetData>
  <sheetProtection/>
  <printOptions/>
  <pageMargins left="0.5" right="0.5" top="0.5" bottom="0.5" header="0.5" footer="0.5"/>
  <pageSetup fitToHeight="1" fitToWidth="1" horizontalDpi="600" verticalDpi="600" orientation="landscape" r:id="rId1"/>
  <headerFooter alignWithMargins="0">
    <oddFooter>&amp;R&amp;"Times New Roman,Regular"&amp;8Page &amp;P &amp;D / &amp;T</oddFooter>
  </headerFooter>
</worksheet>
</file>

<file path=xl/worksheets/sheet20.xml><?xml version="1.0" encoding="utf-8"?>
<worksheet xmlns="http://schemas.openxmlformats.org/spreadsheetml/2006/main" xmlns:r="http://schemas.openxmlformats.org/officeDocument/2006/relationships">
  <dimension ref="A1:T57"/>
  <sheetViews>
    <sheetView showGridLines="0" zoomScalePageLayoutView="0" workbookViewId="0" topLeftCell="A1">
      <selection activeCell="A1" sqref="A1"/>
    </sheetView>
  </sheetViews>
  <sheetFormatPr defaultColWidth="10.7109375" defaultRowHeight="12.75"/>
  <cols>
    <col min="1" max="2" width="10.7109375" style="1" customWidth="1"/>
    <col min="3" max="9" width="7.28125" style="1" customWidth="1"/>
    <col min="10" max="10" width="7.28125" style="76" customWidth="1"/>
    <col min="11" max="11" width="4.57421875" style="1" customWidth="1"/>
    <col min="12" max="12" width="10.7109375" style="1" customWidth="1"/>
    <col min="13" max="21" width="7.28125" style="1" customWidth="1"/>
    <col min="22" max="16384" width="10.7109375" style="1" customWidth="1"/>
  </cols>
  <sheetData>
    <row r="1" spans="2:20" ht="15.75">
      <c r="B1" s="181" t="s">
        <v>316</v>
      </c>
      <c r="C1" s="177"/>
      <c r="D1" s="177"/>
      <c r="E1" s="177"/>
      <c r="F1" s="177"/>
      <c r="G1" s="177"/>
      <c r="H1" s="177"/>
      <c r="I1" s="177"/>
      <c r="J1" s="178"/>
      <c r="K1" s="177"/>
      <c r="L1" s="177"/>
      <c r="M1" s="177"/>
      <c r="N1" s="177"/>
      <c r="O1" s="177"/>
      <c r="P1" s="177"/>
      <c r="Q1" s="177"/>
      <c r="R1" s="177"/>
      <c r="S1" s="177"/>
      <c r="T1" s="177"/>
    </row>
    <row r="2" spans="2:10" s="133" customFormat="1" ht="12.75">
      <c r="B2" s="179"/>
      <c r="J2" s="180"/>
    </row>
    <row r="3" spans="2:20" ht="13.5">
      <c r="B3" s="173" t="str">
        <f>'Toys R Us Domestic'!$B$90</f>
        <v>Toys R Us Domestic</v>
      </c>
      <c r="L3" s="173" t="str">
        <f>'Toys R Us International'!B44</f>
        <v>Toys R Us International</v>
      </c>
      <c r="T3" s="76"/>
    </row>
    <row r="4" spans="2:20" ht="12.75">
      <c r="B4" s="5" t="str">
        <f>'Case Manager'!$K$5</f>
        <v>($ in millions)</v>
      </c>
      <c r="L4" s="5" t="str">
        <f>'Case Manager'!$K$5</f>
        <v>($ in millions)</v>
      </c>
      <c r="T4" s="76"/>
    </row>
    <row r="5" spans="2:20" ht="12.75">
      <c r="B5" s="5"/>
      <c r="L5" s="5"/>
      <c r="T5" s="76"/>
    </row>
    <row r="6" spans="2:20" ht="13.5">
      <c r="B6" s="2" t="str">
        <f>'Case Manager'!$D$65</f>
        <v>Base Case</v>
      </c>
      <c r="L6" s="2" t="str">
        <f>'Case Manager'!$D$65</f>
        <v>Base Case</v>
      </c>
      <c r="T6" s="76"/>
    </row>
    <row r="7" spans="2:20" ht="14.25" thickBot="1">
      <c r="B7" s="3"/>
      <c r="C7" s="4"/>
      <c r="D7" s="4"/>
      <c r="E7" s="4"/>
      <c r="F7" s="4"/>
      <c r="G7" s="4"/>
      <c r="H7" s="4"/>
      <c r="I7" s="4"/>
      <c r="J7" s="77"/>
      <c r="L7" s="3"/>
      <c r="M7" s="4"/>
      <c r="N7" s="4"/>
      <c r="O7" s="4"/>
      <c r="P7" s="4"/>
      <c r="Q7" s="4"/>
      <c r="R7" s="4"/>
      <c r="S7" s="4"/>
      <c r="T7" s="77"/>
    </row>
    <row r="8" spans="2:20" ht="13.5">
      <c r="B8" s="5" t="str">
        <f>'Case Manager'!$K$6</f>
        <v>For the FYE January 31</v>
      </c>
      <c r="D8" s="164" t="str">
        <f>'Summary of Consolidated Fins'!$F$7</f>
        <v>Actual</v>
      </c>
      <c r="E8" s="12" t="str">
        <f>'Consolidated Financial Results'!$I$7</f>
        <v>Projected</v>
      </c>
      <c r="F8" s="12"/>
      <c r="G8" s="12"/>
      <c r="H8" s="13"/>
      <c r="I8" s="6"/>
      <c r="J8" s="33" t="str">
        <f>'Consolidated Financial Results'!$N$7</f>
        <v>CAGR</v>
      </c>
      <c r="L8" s="5" t="str">
        <f>'Case Manager'!$K$6</f>
        <v>For the FYE January 31</v>
      </c>
      <c r="N8" s="164" t="str">
        <f>'Summary of Consolidated Fins'!$F$7</f>
        <v>Actual</v>
      </c>
      <c r="O8" s="12" t="str">
        <f>'Consolidated Financial Results'!$I$7</f>
        <v>Projected</v>
      </c>
      <c r="P8" s="12"/>
      <c r="Q8" s="12"/>
      <c r="R8" s="13"/>
      <c r="S8" s="6"/>
      <c r="T8" s="33" t="str">
        <f>'Consolidated Financial Results'!$N$7</f>
        <v>CAGR</v>
      </c>
    </row>
    <row r="9" spans="2:20" ht="12.75">
      <c r="B9" s="7"/>
      <c r="C9" s="7"/>
      <c r="D9" s="165">
        <f>'Consolidated Financial Results'!$H$8</f>
        <v>2005</v>
      </c>
      <c r="E9" s="15">
        <f>'Consolidated Financial Results'!$I$8</f>
        <v>2006</v>
      </c>
      <c r="F9" s="15">
        <f>'Consolidated Financial Results'!$J$8</f>
        <v>2007</v>
      </c>
      <c r="G9" s="15">
        <f>'Consolidated Financial Results'!$K$8</f>
        <v>2008</v>
      </c>
      <c r="H9" s="15">
        <f>'Consolidated Financial Results'!$L$8</f>
        <v>2009</v>
      </c>
      <c r="I9" s="32">
        <f>'Consolidated Financial Results'!$M$8</f>
        <v>2010</v>
      </c>
      <c r="J9" s="34" t="str">
        <f>'Consolidated Financial Results'!$N$8</f>
        <v>'05-'10</v>
      </c>
      <c r="L9" s="7"/>
      <c r="M9" s="7"/>
      <c r="N9" s="165">
        <f>'Consolidated Financial Results'!$H$8</f>
        <v>2005</v>
      </c>
      <c r="O9" s="15">
        <f>'Consolidated Financial Results'!$I$8</f>
        <v>2006</v>
      </c>
      <c r="P9" s="15">
        <f>'Consolidated Financial Results'!$J$8</f>
        <v>2007</v>
      </c>
      <c r="Q9" s="15">
        <f>'Consolidated Financial Results'!$K$8</f>
        <v>2008</v>
      </c>
      <c r="R9" s="15">
        <f>'Consolidated Financial Results'!$L$8</f>
        <v>2009</v>
      </c>
      <c r="S9" s="32">
        <f>'Consolidated Financial Results'!$M$8</f>
        <v>2010</v>
      </c>
      <c r="T9" s="34" t="str">
        <f>'Consolidated Financial Results'!$N$8</f>
        <v>'05-'10</v>
      </c>
    </row>
    <row r="10" spans="2:20" ht="12.75">
      <c r="B10" s="170" t="str">
        <f>'Toys R Us Domestic'!$B$110</f>
        <v>Net Sales</v>
      </c>
      <c r="D10" s="168">
        <f>'Toys R Us Domestic'!H110</f>
        <v>6104</v>
      </c>
      <c r="E10" s="172">
        <f>'Toys R Us Domestic'!I110</f>
        <v>6086.125915080527</v>
      </c>
      <c r="F10" s="172">
        <f>'Toys R Us Domestic'!J110</f>
        <v>6086.125915080527</v>
      </c>
      <c r="G10" s="172">
        <f>'Toys R Us Domestic'!K110</f>
        <v>6086.125915080527</v>
      </c>
      <c r="H10" s="172">
        <f>'Toys R Us Domestic'!L110</f>
        <v>6086.125915080527</v>
      </c>
      <c r="I10" s="172">
        <f>'Toys R Us Domestic'!M110</f>
        <v>6086.125915080527</v>
      </c>
      <c r="J10" s="78">
        <f>(I10/D10)^(1/5)-1</f>
        <v>-0.0005863387204853021</v>
      </c>
      <c r="L10" s="170" t="str">
        <f>'Toys R Us International'!B50</f>
        <v>Net Sales</v>
      </c>
      <c r="N10" s="168">
        <f>'Toys R Us International'!H50</f>
        <v>2739</v>
      </c>
      <c r="O10" s="172">
        <f>'Toys R Us International'!I50</f>
        <v>2739</v>
      </c>
      <c r="P10" s="172">
        <f>'Toys R Us International'!J50</f>
        <v>2739</v>
      </c>
      <c r="Q10" s="172">
        <f>'Toys R Us International'!K50</f>
        <v>2739</v>
      </c>
      <c r="R10" s="172">
        <f>'Toys R Us International'!L50</f>
        <v>2739</v>
      </c>
      <c r="S10" s="172">
        <f>'Toys R Us International'!M50</f>
        <v>2739</v>
      </c>
      <c r="T10" s="78">
        <f>(S10/N10)^(1/5)-1</f>
        <v>0</v>
      </c>
    </row>
    <row r="11" spans="2:20" ht="12.75">
      <c r="B11" s="171" t="str">
        <f>'Toys R Us Domestic'!$B$111</f>
        <v>   Growth</v>
      </c>
      <c r="D11" s="169">
        <f>'Toys R Us Domestic'!H111</f>
        <v>-0.03509326588681627</v>
      </c>
      <c r="E11" s="9">
        <f>E10/D10-1</f>
        <v>-0.002928257686676372</v>
      </c>
      <c r="F11" s="9">
        <f>F10/E10-1</f>
        <v>0</v>
      </c>
      <c r="G11" s="9">
        <f>G10/F10-1</f>
        <v>0</v>
      </c>
      <c r="H11" s="9">
        <f>H10/G10-1</f>
        <v>0</v>
      </c>
      <c r="I11" s="9">
        <f>I10/H10-1</f>
        <v>0</v>
      </c>
      <c r="J11" s="78"/>
      <c r="L11" s="171" t="str">
        <f>'Toys R Us International'!B51</f>
        <v>   Growth</v>
      </c>
      <c r="N11" s="169">
        <f>'Toys R Us International'!H51</f>
        <v>0.10890688259109305</v>
      </c>
      <c r="O11" s="9">
        <f>O10/N10-1</f>
        <v>0</v>
      </c>
      <c r="P11" s="9">
        <f>P10/O10-1</f>
        <v>0</v>
      </c>
      <c r="Q11" s="9">
        <f>Q10/P10-1</f>
        <v>0</v>
      </c>
      <c r="R11" s="9">
        <f>R10/Q10-1</f>
        <v>0</v>
      </c>
      <c r="S11" s="9">
        <f>S10/R10-1</f>
        <v>0</v>
      </c>
      <c r="T11" s="78"/>
    </row>
    <row r="12" spans="2:20" ht="12.75">
      <c r="B12" s="166" t="s">
        <v>149</v>
      </c>
      <c r="D12" s="27">
        <f>D10/$D$47</f>
        <v>0.5513005780346821</v>
      </c>
      <c r="E12" s="9">
        <f>E10/$E$47</f>
        <v>0.5505750487949088</v>
      </c>
      <c r="F12" s="9">
        <f>F10/$F$47</f>
        <v>0.5505750487949088</v>
      </c>
      <c r="G12" s="9">
        <f>G10/$G$47</f>
        <v>0.5505750487949088</v>
      </c>
      <c r="H12" s="9">
        <f>H10/$H$47</f>
        <v>0.5505750487949088</v>
      </c>
      <c r="I12" s="9">
        <f>I10/$I$47</f>
        <v>0.5505750487949088</v>
      </c>
      <c r="L12" s="166" t="s">
        <v>149</v>
      </c>
      <c r="N12" s="27">
        <f>N10/$D$47</f>
        <v>0.24738078034682082</v>
      </c>
      <c r="O12" s="9">
        <f>O10/$E$47</f>
        <v>0.24778078529604364</v>
      </c>
      <c r="P12" s="9">
        <f>P10/$F$47</f>
        <v>0.24778078529604364</v>
      </c>
      <c r="Q12" s="9">
        <f>Q10/$G$47</f>
        <v>0.24778078529604364</v>
      </c>
      <c r="R12" s="9">
        <f>R10/$H$47</f>
        <v>0.24778078529604364</v>
      </c>
      <c r="S12" s="9">
        <f>S10/$I$47</f>
        <v>0.24778078529604364</v>
      </c>
      <c r="T12" s="76"/>
    </row>
    <row r="13" spans="4:20" ht="12.75">
      <c r="D13" s="28"/>
      <c r="N13" s="28"/>
      <c r="T13" s="76"/>
    </row>
    <row r="14" spans="1:20" ht="12.75">
      <c r="A14" s="11"/>
      <c r="B14" s="170" t="str">
        <f>'Toys R Us Domestic'!$B$117</f>
        <v>EBITDA</v>
      </c>
      <c r="D14" s="168">
        <f>'Toys R Us Domestic'!H117</f>
        <v>322</v>
      </c>
      <c r="E14" s="172">
        <f>'Toys R Us Domestic'!I117</f>
        <v>321.0571010248902</v>
      </c>
      <c r="F14" s="172">
        <f>'Toys R Us Domestic'!J117</f>
        <v>321.0571010248902</v>
      </c>
      <c r="G14" s="172">
        <f>'Toys R Us Domestic'!K117</f>
        <v>321.0571010248902</v>
      </c>
      <c r="H14" s="172">
        <f>'Toys R Us Domestic'!L117</f>
        <v>321.0571010248902</v>
      </c>
      <c r="I14" s="172">
        <f>'Toys R Us Domestic'!M117</f>
        <v>321.0571010248902</v>
      </c>
      <c r="J14" s="78">
        <f>(I14/D14)^(1/5)-1</f>
        <v>-0.0005863387204853021</v>
      </c>
      <c r="L14" s="170" t="str">
        <f>'Toys R Us International'!B57</f>
        <v>EBITDA</v>
      </c>
      <c r="N14" s="168">
        <f>'Toys R Us International'!H57</f>
        <v>295</v>
      </c>
      <c r="O14" s="172">
        <f>'Toys R Us International'!I57</f>
        <v>295</v>
      </c>
      <c r="P14" s="172">
        <f>'Toys R Us International'!J57</f>
        <v>295</v>
      </c>
      <c r="Q14" s="172">
        <f>'Toys R Us International'!K57</f>
        <v>295</v>
      </c>
      <c r="R14" s="172">
        <f>'Toys R Us International'!L57</f>
        <v>295</v>
      </c>
      <c r="S14" s="172">
        <f>'Toys R Us International'!M57</f>
        <v>295</v>
      </c>
      <c r="T14" s="78">
        <f>(S14/N14)^(1/5)-1</f>
        <v>0</v>
      </c>
    </row>
    <row r="15" spans="2:20" ht="12.75">
      <c r="B15" s="171" t="str">
        <f>'Toys R Us Domestic'!$B$118</f>
        <v>   Growth</v>
      </c>
      <c r="D15" s="169">
        <f>'Toys R Us Domestic'!H118</f>
        <v>0.21969696969696972</v>
      </c>
      <c r="E15" s="9">
        <f>E14/D14-1</f>
        <v>-0.002928257686676483</v>
      </c>
      <c r="F15" s="9">
        <f>F14/E14-1</f>
        <v>0</v>
      </c>
      <c r="G15" s="9">
        <f>G14/F14-1</f>
        <v>0</v>
      </c>
      <c r="H15" s="9">
        <f>H14/G14-1</f>
        <v>0</v>
      </c>
      <c r="I15" s="9">
        <f>I14/H14-1</f>
        <v>0</v>
      </c>
      <c r="L15" s="171" t="str">
        <f>'Toys R Us International'!B58</f>
        <v>   Growth</v>
      </c>
      <c r="N15" s="169">
        <f>'Toys R Us International'!H58</f>
        <v>0.2995594713656389</v>
      </c>
      <c r="O15" s="9">
        <f>O14/N14-1</f>
        <v>0</v>
      </c>
      <c r="P15" s="9">
        <f>P14/O14-1</f>
        <v>0</v>
      </c>
      <c r="Q15" s="9">
        <f>Q14/P14-1</f>
        <v>0</v>
      </c>
      <c r="R15" s="9">
        <f>R14/Q14-1</f>
        <v>0</v>
      </c>
      <c r="S15" s="9">
        <f>S14/R14-1</f>
        <v>0</v>
      </c>
      <c r="T15" s="76"/>
    </row>
    <row r="16" spans="2:20" ht="12.75">
      <c r="B16" s="171" t="str">
        <f>'Toys R Us Domestic'!$B$119</f>
        <v>   Margin</v>
      </c>
      <c r="D16" s="27">
        <f aca="true" t="shared" si="0" ref="D16:I16">D14/D10</f>
        <v>0.052752293577981654</v>
      </c>
      <c r="E16" s="9">
        <f t="shared" si="0"/>
        <v>0.05275229357798165</v>
      </c>
      <c r="F16" s="9">
        <f t="shared" si="0"/>
        <v>0.05275229357798165</v>
      </c>
      <c r="G16" s="9">
        <f t="shared" si="0"/>
        <v>0.05275229357798165</v>
      </c>
      <c r="H16" s="9">
        <f t="shared" si="0"/>
        <v>0.05275229357798165</v>
      </c>
      <c r="I16" s="9">
        <f t="shared" si="0"/>
        <v>0.05275229357798165</v>
      </c>
      <c r="L16" s="171" t="str">
        <f>'Toys R Us International'!B59</f>
        <v>   Margin</v>
      </c>
      <c r="N16" s="27">
        <f aca="true" t="shared" si="1" ref="N16:S16">N14/N10</f>
        <v>0.1077035414384812</v>
      </c>
      <c r="O16" s="9">
        <f t="shared" si="1"/>
        <v>0.1077035414384812</v>
      </c>
      <c r="P16" s="9">
        <f t="shared" si="1"/>
        <v>0.1077035414384812</v>
      </c>
      <c r="Q16" s="9">
        <f t="shared" si="1"/>
        <v>0.1077035414384812</v>
      </c>
      <c r="R16" s="9">
        <f t="shared" si="1"/>
        <v>0.1077035414384812</v>
      </c>
      <c r="S16" s="9">
        <f t="shared" si="1"/>
        <v>0.1077035414384812</v>
      </c>
      <c r="T16" s="76"/>
    </row>
    <row r="17" spans="2:20" ht="13.5" thickBot="1">
      <c r="B17" s="167" t="s">
        <v>150</v>
      </c>
      <c r="C17" s="4"/>
      <c r="D17" s="29">
        <f>D14/$D$55</f>
        <v>0.3659090909090909</v>
      </c>
      <c r="E17" s="20">
        <f>E14/$E$55</f>
        <v>0.3652289488937301</v>
      </c>
      <c r="F17" s="20">
        <f>F14/$F$55</f>
        <v>0.3652289488937301</v>
      </c>
      <c r="G17" s="20">
        <f>G14/$G$55</f>
        <v>0.3652289488937301</v>
      </c>
      <c r="H17" s="20">
        <f>H14/$H$55</f>
        <v>0.3652289488937301</v>
      </c>
      <c r="I17" s="20">
        <f>I14/$I$55</f>
        <v>0.3652289488937301</v>
      </c>
      <c r="J17" s="77"/>
      <c r="L17" s="167" t="s">
        <v>150</v>
      </c>
      <c r="M17" s="4"/>
      <c r="N17" s="29">
        <f>N14/$D$55</f>
        <v>0.3352272727272727</v>
      </c>
      <c r="O17" s="20">
        <f>O14/$E$55</f>
        <v>0.3355868460149634</v>
      </c>
      <c r="P17" s="20">
        <f>P14/$F$55</f>
        <v>0.3355868460149634</v>
      </c>
      <c r="Q17" s="20">
        <f>Q14/$G$55</f>
        <v>0.3355868460149634</v>
      </c>
      <c r="R17" s="20">
        <f>R14/$H$55</f>
        <v>0.3355868460149634</v>
      </c>
      <c r="S17" s="20">
        <f>S14/$I$55</f>
        <v>0.3355868460149634</v>
      </c>
      <c r="T17" s="77"/>
    </row>
    <row r="18" spans="2:20" ht="12.75">
      <c r="B18" s="18" t="s">
        <v>151</v>
      </c>
      <c r="C18" s="8"/>
      <c r="D18" s="31"/>
      <c r="E18" s="31"/>
      <c r="F18" s="31"/>
      <c r="G18" s="31"/>
      <c r="H18" s="31"/>
      <c r="I18" s="31"/>
      <c r="J18" s="80"/>
      <c r="L18" s="18"/>
      <c r="M18" s="8"/>
      <c r="N18" s="31"/>
      <c r="O18" s="31"/>
      <c r="P18" s="31"/>
      <c r="Q18" s="31"/>
      <c r="R18" s="31"/>
      <c r="S18" s="31"/>
      <c r="T18" s="80"/>
    </row>
    <row r="20" spans="2:20" ht="13.5">
      <c r="B20" s="173" t="str">
        <f>'Babies R Us'!B44</f>
        <v>Babies R Us</v>
      </c>
      <c r="L20" s="173" t="str">
        <f>'Toys R Us.com'!B44</f>
        <v>Toys R Us.com</v>
      </c>
      <c r="T20" s="76"/>
    </row>
    <row r="21" spans="2:20" ht="12.75">
      <c r="B21" s="5" t="str">
        <f>'Case Manager'!$K$5</f>
        <v>($ in millions)</v>
      </c>
      <c r="L21" s="5" t="str">
        <f>'Case Manager'!$K$5</f>
        <v>($ in millions)</v>
      </c>
      <c r="T21" s="76"/>
    </row>
    <row r="22" spans="2:20" ht="12.75">
      <c r="B22" s="5"/>
      <c r="L22" s="5"/>
      <c r="T22" s="76"/>
    </row>
    <row r="23" spans="2:20" ht="13.5">
      <c r="B23" s="2" t="str">
        <f>'Case Manager'!$D$65</f>
        <v>Base Case</v>
      </c>
      <c r="L23" s="2" t="str">
        <f>'Case Manager'!$D$65</f>
        <v>Base Case</v>
      </c>
      <c r="T23" s="76"/>
    </row>
    <row r="24" spans="2:20" ht="14.25" thickBot="1">
      <c r="B24" s="3"/>
      <c r="C24" s="4"/>
      <c r="D24" s="4"/>
      <c r="E24" s="4"/>
      <c r="F24" s="4"/>
      <c r="G24" s="4"/>
      <c r="H24" s="4"/>
      <c r="I24" s="4"/>
      <c r="J24" s="77"/>
      <c r="L24" s="3"/>
      <c r="M24" s="4"/>
      <c r="N24" s="4"/>
      <c r="O24" s="4"/>
      <c r="P24" s="4"/>
      <c r="Q24" s="4"/>
      <c r="R24" s="4"/>
      <c r="S24" s="4"/>
      <c r="T24" s="77"/>
    </row>
    <row r="25" spans="2:20" ht="13.5">
      <c r="B25" s="5" t="str">
        <f>'Case Manager'!$K$6</f>
        <v>For the FYE January 31</v>
      </c>
      <c r="D25" s="164" t="str">
        <f>'Summary of Consolidated Fins'!$F$7</f>
        <v>Actual</v>
      </c>
      <c r="E25" s="12" t="str">
        <f>'Consolidated Financial Results'!$I$7</f>
        <v>Projected</v>
      </c>
      <c r="F25" s="12"/>
      <c r="G25" s="12"/>
      <c r="H25" s="13"/>
      <c r="I25" s="6"/>
      <c r="J25" s="33" t="str">
        <f>'Consolidated Financial Results'!$N$7</f>
        <v>CAGR</v>
      </c>
      <c r="L25" s="5" t="str">
        <f>'Case Manager'!$K$6</f>
        <v>For the FYE January 31</v>
      </c>
      <c r="N25" s="164" t="str">
        <f>'Summary of Consolidated Fins'!$F$7</f>
        <v>Actual</v>
      </c>
      <c r="O25" s="12" t="str">
        <f>'Consolidated Financial Results'!$I$7</f>
        <v>Projected</v>
      </c>
      <c r="P25" s="12"/>
      <c r="Q25" s="12"/>
      <c r="R25" s="13"/>
      <c r="S25" s="6"/>
      <c r="T25" s="33" t="str">
        <f>'Consolidated Financial Results'!$N$7</f>
        <v>CAGR</v>
      </c>
    </row>
    <row r="26" spans="2:20" ht="12.75">
      <c r="B26" s="7"/>
      <c r="C26" s="7"/>
      <c r="D26" s="165">
        <f>'Consolidated Financial Results'!$H$8</f>
        <v>2005</v>
      </c>
      <c r="E26" s="15">
        <f>'Consolidated Financial Results'!$I$8</f>
        <v>2006</v>
      </c>
      <c r="F26" s="15">
        <f>'Consolidated Financial Results'!$J$8</f>
        <v>2007</v>
      </c>
      <c r="G26" s="15">
        <f>'Consolidated Financial Results'!$K$8</f>
        <v>2008</v>
      </c>
      <c r="H26" s="15">
        <f>'Consolidated Financial Results'!$L$8</f>
        <v>2009</v>
      </c>
      <c r="I26" s="32">
        <f>'Consolidated Financial Results'!$M$8</f>
        <v>2010</v>
      </c>
      <c r="J26" s="34" t="str">
        <f>'Consolidated Financial Results'!$N$8</f>
        <v>'05-'10</v>
      </c>
      <c r="L26" s="7"/>
      <c r="M26" s="7"/>
      <c r="N26" s="165">
        <f>'Consolidated Financial Results'!$H$8</f>
        <v>2005</v>
      </c>
      <c r="O26" s="15">
        <f>'Consolidated Financial Results'!$I$8</f>
        <v>2006</v>
      </c>
      <c r="P26" s="15">
        <f>'Consolidated Financial Results'!$J$8</f>
        <v>2007</v>
      </c>
      <c r="Q26" s="15">
        <f>'Consolidated Financial Results'!$K$8</f>
        <v>2008</v>
      </c>
      <c r="R26" s="15">
        <f>'Consolidated Financial Results'!$L$8</f>
        <v>2009</v>
      </c>
      <c r="S26" s="32">
        <f>'Consolidated Financial Results'!$M$8</f>
        <v>2010</v>
      </c>
      <c r="T26" s="34" t="str">
        <f>'Consolidated Financial Results'!$N$8</f>
        <v>'05-'10</v>
      </c>
    </row>
    <row r="27" spans="2:20" ht="12.75">
      <c r="B27" s="170" t="str">
        <f>'Babies R Us'!B50</f>
        <v>Net Sales</v>
      </c>
      <c r="D27" s="168">
        <f>'Babies R Us'!H50</f>
        <v>1863</v>
      </c>
      <c r="E27" s="172">
        <f>'Babies R Us'!I50</f>
        <v>1863</v>
      </c>
      <c r="F27" s="172">
        <f>'Babies R Us'!J50</f>
        <v>1863</v>
      </c>
      <c r="G27" s="172">
        <f>'Babies R Us'!K50</f>
        <v>1863</v>
      </c>
      <c r="H27" s="172">
        <f>'Babies R Us'!L50</f>
        <v>1863</v>
      </c>
      <c r="I27" s="172">
        <f>'Babies R Us'!M50</f>
        <v>1863</v>
      </c>
      <c r="J27" s="78">
        <f>(I27/D27)^(1/5)-1</f>
        <v>0</v>
      </c>
      <c r="L27" s="170" t="str">
        <f>'Toys R Us.com'!B50</f>
        <v>Net Sales</v>
      </c>
      <c r="N27" s="168">
        <f>'Toys R Us.com'!H50</f>
        <v>366</v>
      </c>
      <c r="O27" s="172">
        <f>'Toys R Us.com'!I50</f>
        <v>366</v>
      </c>
      <c r="P27" s="172">
        <f>'Toys R Us.com'!J50</f>
        <v>366</v>
      </c>
      <c r="Q27" s="172">
        <f>'Toys R Us.com'!K50</f>
        <v>366</v>
      </c>
      <c r="R27" s="172">
        <f>'Toys R Us.com'!L50</f>
        <v>366</v>
      </c>
      <c r="S27" s="172">
        <f>'Toys R Us.com'!M50</f>
        <v>366</v>
      </c>
      <c r="T27" s="78">
        <f>(S27/N27)^(1/5)-1</f>
        <v>0</v>
      </c>
    </row>
    <row r="28" spans="2:20" ht="12.75">
      <c r="B28" s="171" t="str">
        <f>'Babies R Us'!B51</f>
        <v>   Growth</v>
      </c>
      <c r="D28" s="169">
        <f>'Babies R Us'!H51</f>
        <v>0.07192174913693905</v>
      </c>
      <c r="E28" s="9">
        <f>E27/D27-1</f>
        <v>0</v>
      </c>
      <c r="F28" s="9">
        <f>F27/E27-1</f>
        <v>0</v>
      </c>
      <c r="G28" s="9">
        <f>G27/F27-1</f>
        <v>0</v>
      </c>
      <c r="H28" s="9">
        <f>H27/G27-1</f>
        <v>0</v>
      </c>
      <c r="I28" s="9">
        <f>I27/H27-1</f>
        <v>0</v>
      </c>
      <c r="J28" s="78"/>
      <c r="L28" s="171" t="str">
        <f>'Toys R Us.com'!B51</f>
        <v>   Growth</v>
      </c>
      <c r="N28" s="169">
        <f>'Toys R Us.com'!H51</f>
        <v>-0.013477088948787075</v>
      </c>
      <c r="O28" s="9">
        <f>O27/N27-1</f>
        <v>0</v>
      </c>
      <c r="P28" s="9">
        <f>P27/O27-1</f>
        <v>0</v>
      </c>
      <c r="Q28" s="9">
        <f>Q27/P27-1</f>
        <v>0</v>
      </c>
      <c r="R28" s="9">
        <f>R27/Q27-1</f>
        <v>0</v>
      </c>
      <c r="S28" s="9">
        <f>S27/R27-1</f>
        <v>0</v>
      </c>
      <c r="T28" s="78"/>
    </row>
    <row r="29" spans="2:20" ht="12.75">
      <c r="B29" s="166" t="s">
        <v>149</v>
      </c>
      <c r="D29" s="27">
        <f>D27/$D$47</f>
        <v>0.16826228323699421</v>
      </c>
      <c r="E29" s="9">
        <f>E27/$E$47</f>
        <v>0.1685343567019092</v>
      </c>
      <c r="F29" s="9">
        <f>F27/$F$47</f>
        <v>0.1685343567019092</v>
      </c>
      <c r="G29" s="9">
        <f>G27/$G$47</f>
        <v>0.1685343567019092</v>
      </c>
      <c r="H29" s="9">
        <f>H27/$H$47</f>
        <v>0.1685343567019092</v>
      </c>
      <c r="I29" s="9">
        <f>I27/$I$47</f>
        <v>0.1685343567019092</v>
      </c>
      <c r="L29" s="166" t="s">
        <v>149</v>
      </c>
      <c r="N29" s="27">
        <f>N27/$D$47</f>
        <v>0.03305635838150289</v>
      </c>
      <c r="O29" s="9">
        <f>O27/$E$47</f>
        <v>0.03310980920713836</v>
      </c>
      <c r="P29" s="9">
        <f>P27/$F$47</f>
        <v>0.03310980920713836</v>
      </c>
      <c r="Q29" s="9">
        <f>Q27/$G$47</f>
        <v>0.03310980920713836</v>
      </c>
      <c r="R29" s="9">
        <f>R27/$H$47</f>
        <v>0.03310980920713836</v>
      </c>
      <c r="S29" s="9">
        <f>S27/$I$47</f>
        <v>0.03310980920713836</v>
      </c>
      <c r="T29" s="76"/>
    </row>
    <row r="30" spans="4:20" ht="12.75">
      <c r="D30" s="28"/>
      <c r="N30" s="28"/>
      <c r="T30" s="76"/>
    </row>
    <row r="31" spans="2:20" ht="12.75">
      <c r="B31" s="170" t="str">
        <f>'Babies R Us'!B57</f>
        <v>EBITDA</v>
      </c>
      <c r="D31" s="168">
        <f>'Babies R Us'!H57</f>
        <v>262</v>
      </c>
      <c r="E31" s="172">
        <f>'Babies R Us'!I57</f>
        <v>262</v>
      </c>
      <c r="F31" s="172">
        <f>'Babies R Us'!J57</f>
        <v>262</v>
      </c>
      <c r="G31" s="172">
        <f>'Babies R Us'!K57</f>
        <v>262</v>
      </c>
      <c r="H31" s="172">
        <f>'Babies R Us'!L57</f>
        <v>262</v>
      </c>
      <c r="I31" s="172">
        <f>'Babies R Us'!M57</f>
        <v>262</v>
      </c>
      <c r="J31" s="78">
        <f>(I31/D31)^(1/5)-1</f>
        <v>0</v>
      </c>
      <c r="L31" s="170" t="str">
        <f>'Toys R Us.com'!B57</f>
        <v>EBITDA</v>
      </c>
      <c r="N31" s="168">
        <f>'Toys R Us.com'!H57</f>
        <v>1</v>
      </c>
      <c r="O31" s="172">
        <f>'Toys R Us.com'!I57</f>
        <v>1</v>
      </c>
      <c r="P31" s="172">
        <f>'Toys R Us.com'!J57</f>
        <v>1</v>
      </c>
      <c r="Q31" s="172">
        <f>'Toys R Us.com'!K57</f>
        <v>1</v>
      </c>
      <c r="R31" s="172">
        <f>'Toys R Us.com'!L57</f>
        <v>1</v>
      </c>
      <c r="S31" s="172">
        <f>'Toys R Us.com'!M57</f>
        <v>1</v>
      </c>
      <c r="T31" s="78">
        <f>(S31/N31)^(1/5)-1</f>
        <v>0</v>
      </c>
    </row>
    <row r="32" spans="2:20" ht="12.75">
      <c r="B32" s="171" t="str">
        <f>'Babies R Us'!B58</f>
        <v>   Growth</v>
      </c>
      <c r="D32" s="169">
        <f>'Babies R Us'!H58</f>
        <v>0.17488789237668168</v>
      </c>
      <c r="E32" s="9">
        <f>E31/D31-1</f>
        <v>0</v>
      </c>
      <c r="F32" s="9">
        <f>F31/E31-1</f>
        <v>0</v>
      </c>
      <c r="G32" s="9">
        <f>G31/F31-1</f>
        <v>0</v>
      </c>
      <c r="H32" s="9">
        <f>H31/G31-1</f>
        <v>0</v>
      </c>
      <c r="I32" s="9">
        <f>I31/H31-1</f>
        <v>0</v>
      </c>
      <c r="L32" s="171" t="str">
        <f>'Toys R Us.com'!B58</f>
        <v>   Growth</v>
      </c>
      <c r="N32" s="169">
        <f>'Toys R Us.com'!H58</f>
        <v>-1.0625</v>
      </c>
      <c r="O32" s="9">
        <f>O31/N31-1</f>
        <v>0</v>
      </c>
      <c r="P32" s="9">
        <f>P31/O31-1</f>
        <v>0</v>
      </c>
      <c r="Q32" s="9">
        <f>Q31/P31-1</f>
        <v>0</v>
      </c>
      <c r="R32" s="9">
        <f>R31/Q31-1</f>
        <v>0</v>
      </c>
      <c r="S32" s="9">
        <f>S31/R31-1</f>
        <v>0</v>
      </c>
      <c r="T32" s="76"/>
    </row>
    <row r="33" spans="2:20" ht="12.75">
      <c r="B33" s="171" t="str">
        <f>'Babies R Us'!B59</f>
        <v>   Margin</v>
      </c>
      <c r="D33" s="27">
        <f aca="true" t="shared" si="2" ref="D33:I33">D31/D27</f>
        <v>0.1406333870101986</v>
      </c>
      <c r="E33" s="9">
        <f t="shared" si="2"/>
        <v>0.1406333870101986</v>
      </c>
      <c r="F33" s="9">
        <f t="shared" si="2"/>
        <v>0.1406333870101986</v>
      </c>
      <c r="G33" s="9">
        <f t="shared" si="2"/>
        <v>0.1406333870101986</v>
      </c>
      <c r="H33" s="9">
        <f t="shared" si="2"/>
        <v>0.1406333870101986</v>
      </c>
      <c r="I33" s="9">
        <f t="shared" si="2"/>
        <v>0.1406333870101986</v>
      </c>
      <c r="L33" s="171" t="str">
        <f>'Toys R Us.com'!B59</f>
        <v>   Margin</v>
      </c>
      <c r="N33" s="27">
        <f aca="true" t="shared" si="3" ref="N33:S33">N31/N27</f>
        <v>0.00273224043715847</v>
      </c>
      <c r="O33" s="9">
        <f t="shared" si="3"/>
        <v>0.00273224043715847</v>
      </c>
      <c r="P33" s="9">
        <f t="shared" si="3"/>
        <v>0.00273224043715847</v>
      </c>
      <c r="Q33" s="9">
        <f t="shared" si="3"/>
        <v>0.00273224043715847</v>
      </c>
      <c r="R33" s="9">
        <f t="shared" si="3"/>
        <v>0.00273224043715847</v>
      </c>
      <c r="S33" s="9">
        <f t="shared" si="3"/>
        <v>0.00273224043715847</v>
      </c>
      <c r="T33" s="76"/>
    </row>
    <row r="34" spans="2:20" ht="13.5" thickBot="1">
      <c r="B34" s="167" t="s">
        <v>150</v>
      </c>
      <c r="C34" s="4"/>
      <c r="D34" s="29">
        <f>D31/$D$55</f>
        <v>0.29772727272727273</v>
      </c>
      <c r="E34" s="20">
        <f>E31/$E$55</f>
        <v>0.2980466225624421</v>
      </c>
      <c r="F34" s="20">
        <f>F31/$F$55</f>
        <v>0.2980466225624421</v>
      </c>
      <c r="G34" s="20">
        <f>G31/$G$55</f>
        <v>0.2980466225624421</v>
      </c>
      <c r="H34" s="20">
        <f>H31/$H$55</f>
        <v>0.2980466225624421</v>
      </c>
      <c r="I34" s="20">
        <f>I31/$I$55</f>
        <v>0.2980466225624421</v>
      </c>
      <c r="J34" s="77"/>
      <c r="L34" s="167" t="s">
        <v>150</v>
      </c>
      <c r="M34" s="4"/>
      <c r="N34" s="29">
        <f>N31/$D$55</f>
        <v>0.0011363636363636363</v>
      </c>
      <c r="O34" s="20">
        <f>O31/$E$55</f>
        <v>0.001137582528864283</v>
      </c>
      <c r="P34" s="20">
        <f>P31/$F$55</f>
        <v>0.001137582528864283</v>
      </c>
      <c r="Q34" s="20">
        <f>Q31/$G$55</f>
        <v>0.001137582528864283</v>
      </c>
      <c r="R34" s="20">
        <f>R31/$H$55</f>
        <v>0.001137582528864283</v>
      </c>
      <c r="S34" s="20">
        <f>S31/$I$55</f>
        <v>0.001137582528864283</v>
      </c>
      <c r="T34" s="77"/>
    </row>
    <row r="35" spans="2:20" ht="12.75">
      <c r="B35" s="18" t="s">
        <v>151</v>
      </c>
      <c r="C35" s="8"/>
      <c r="D35" s="31"/>
      <c r="E35" s="31"/>
      <c r="F35" s="31"/>
      <c r="G35" s="31"/>
      <c r="H35" s="31"/>
      <c r="I35" s="31"/>
      <c r="J35" s="80"/>
      <c r="L35" s="18"/>
      <c r="M35" s="8"/>
      <c r="N35" s="31"/>
      <c r="O35" s="31"/>
      <c r="P35" s="31"/>
      <c r="Q35" s="31"/>
      <c r="R35" s="31"/>
      <c r="S35" s="31"/>
      <c r="T35" s="80"/>
    </row>
    <row r="39" ht="13.5">
      <c r="B39" s="2" t="s">
        <v>158</v>
      </c>
    </row>
    <row r="40" spans="2:10" ht="14.25" thickBot="1">
      <c r="B40" s="3"/>
      <c r="C40" s="4"/>
      <c r="D40" s="4"/>
      <c r="E40" s="4"/>
      <c r="F40" s="4"/>
      <c r="G40" s="4"/>
      <c r="H40" s="4"/>
      <c r="I40" s="4"/>
      <c r="J40"/>
    </row>
    <row r="41" spans="2:10" ht="13.5">
      <c r="B41" s="5" t="str">
        <f>'Case Manager'!$K$6</f>
        <v>For the FYE January 31</v>
      </c>
      <c r="D41" s="164" t="str">
        <f>'Summary of Consolidated Fins'!$F$7</f>
        <v>Actual</v>
      </c>
      <c r="E41" s="12" t="str">
        <f>'Consolidated Financial Results'!$I$7</f>
        <v>Projected</v>
      </c>
      <c r="F41" s="12"/>
      <c r="G41" s="12"/>
      <c r="H41" s="13"/>
      <c r="I41" s="6"/>
      <c r="J41"/>
    </row>
    <row r="42" spans="2:10" ht="12.75">
      <c r="B42" s="7"/>
      <c r="C42" s="7"/>
      <c r="D42" s="165">
        <f>'Consolidated Financial Results'!$H$8</f>
        <v>2005</v>
      </c>
      <c r="E42" s="15">
        <f>'Consolidated Financial Results'!$I$8</f>
        <v>2006</v>
      </c>
      <c r="F42" s="15">
        <f>'Consolidated Financial Results'!$J$8</f>
        <v>2007</v>
      </c>
      <c r="G42" s="15">
        <f>'Consolidated Financial Results'!$K$8</f>
        <v>2008</v>
      </c>
      <c r="H42" s="15">
        <f>'Consolidated Financial Results'!$L$8</f>
        <v>2009</v>
      </c>
      <c r="I42" s="32">
        <f>'Consolidated Financial Results'!$M$8</f>
        <v>2010</v>
      </c>
      <c r="J42"/>
    </row>
    <row r="43" spans="2:10" ht="12.75">
      <c r="B43" s="1" t="s">
        <v>152</v>
      </c>
      <c r="D43" s="24">
        <f aca="true" t="shared" si="4" ref="D43:I43">D10+D27+N10+N27</f>
        <v>11072</v>
      </c>
      <c r="E43" s="11">
        <f t="shared" si="4"/>
        <v>11054.125915080527</v>
      </c>
      <c r="F43" s="11">
        <f t="shared" si="4"/>
        <v>11054.125915080527</v>
      </c>
      <c r="G43" s="11">
        <f t="shared" si="4"/>
        <v>11054.125915080527</v>
      </c>
      <c r="H43" s="11">
        <f t="shared" si="4"/>
        <v>11054.125915080527</v>
      </c>
      <c r="I43" s="11">
        <f t="shared" si="4"/>
        <v>11054.125915080527</v>
      </c>
      <c r="J43"/>
    </row>
    <row r="44" spans="2:9" ht="12.75">
      <c r="B44" s="10" t="s">
        <v>42</v>
      </c>
      <c r="C44" s="10"/>
      <c r="D44" s="26">
        <f>'Kids R Us'!H50</f>
        <v>28</v>
      </c>
      <c r="E44" s="17">
        <f>'Kids R Us'!I50</f>
        <v>0</v>
      </c>
      <c r="F44" s="17">
        <f>'Kids R Us'!J50</f>
        <v>0</v>
      </c>
      <c r="G44" s="17">
        <f>'Kids R Us'!K50</f>
        <v>0</v>
      </c>
      <c r="H44" s="17">
        <f>'Kids R Us'!L50</f>
        <v>0</v>
      </c>
      <c r="I44" s="17">
        <f>'Kids R Us'!M50</f>
        <v>0</v>
      </c>
    </row>
    <row r="45" spans="2:9" ht="12.75">
      <c r="B45" s="1" t="s">
        <v>153</v>
      </c>
      <c r="D45" s="25">
        <f aca="true" t="shared" si="5" ref="D45:I45">D43+D44</f>
        <v>11100</v>
      </c>
      <c r="E45" s="21">
        <f t="shared" si="5"/>
        <v>11054.125915080527</v>
      </c>
      <c r="F45" s="21">
        <f t="shared" si="5"/>
        <v>11054.125915080527</v>
      </c>
      <c r="G45" s="21">
        <f t="shared" si="5"/>
        <v>11054.125915080527</v>
      </c>
      <c r="H45" s="21">
        <f t="shared" si="5"/>
        <v>11054.125915080527</v>
      </c>
      <c r="I45" s="21">
        <f t="shared" si="5"/>
        <v>11054.125915080527</v>
      </c>
    </row>
    <row r="46" spans="2:9" ht="12.75">
      <c r="B46" s="10" t="s">
        <v>154</v>
      </c>
      <c r="C46" s="10"/>
      <c r="D46" s="26">
        <f aca="true" t="shared" si="6" ref="D46:I46">-D44</f>
        <v>-28</v>
      </c>
      <c r="E46" s="17">
        <f t="shared" si="6"/>
        <v>0</v>
      </c>
      <c r="F46" s="17">
        <f t="shared" si="6"/>
        <v>0</v>
      </c>
      <c r="G46" s="17">
        <f t="shared" si="6"/>
        <v>0</v>
      </c>
      <c r="H46" s="17">
        <f t="shared" si="6"/>
        <v>0</v>
      </c>
      <c r="I46" s="17">
        <f t="shared" si="6"/>
        <v>0</v>
      </c>
    </row>
    <row r="47" spans="2:9" ht="12.75">
      <c r="B47" s="1" t="s">
        <v>155</v>
      </c>
      <c r="D47" s="25">
        <f aca="true" t="shared" si="7" ref="D47:I47">D45+D46</f>
        <v>11072</v>
      </c>
      <c r="E47" s="21">
        <f t="shared" si="7"/>
        <v>11054.125915080527</v>
      </c>
      <c r="F47" s="21">
        <f t="shared" si="7"/>
        <v>11054.125915080527</v>
      </c>
      <c r="G47" s="21">
        <f t="shared" si="7"/>
        <v>11054.125915080527</v>
      </c>
      <c r="H47" s="21">
        <f t="shared" si="7"/>
        <v>11054.125915080527</v>
      </c>
      <c r="I47" s="21">
        <f t="shared" si="7"/>
        <v>11054.125915080527</v>
      </c>
    </row>
    <row r="48" spans="4:9" ht="12.75">
      <c r="D48" s="25"/>
      <c r="E48" s="21"/>
      <c r="F48" s="21"/>
      <c r="G48" s="21"/>
      <c r="H48" s="21"/>
      <c r="I48" s="21"/>
    </row>
    <row r="49" spans="2:9" ht="12.75">
      <c r="B49" s="1" t="s">
        <v>130</v>
      </c>
      <c r="D49" s="27">
        <f aca="true" t="shared" si="8" ref="D49:I49">D12+N12+D29+N29</f>
        <v>1</v>
      </c>
      <c r="E49" s="9">
        <f t="shared" si="8"/>
        <v>1</v>
      </c>
      <c r="F49" s="9">
        <f t="shared" si="8"/>
        <v>1</v>
      </c>
      <c r="G49" s="9">
        <f t="shared" si="8"/>
        <v>1</v>
      </c>
      <c r="H49" s="9">
        <f t="shared" si="8"/>
        <v>1</v>
      </c>
      <c r="I49" s="9">
        <f t="shared" si="8"/>
        <v>1</v>
      </c>
    </row>
    <row r="50" ht="12.75">
      <c r="D50" s="28"/>
    </row>
    <row r="51" spans="2:9" ht="12.75">
      <c r="B51" s="1" t="s">
        <v>156</v>
      </c>
      <c r="D51" s="24">
        <f aca="true" t="shared" si="9" ref="D51:I51">D14+N14+D31+N31</f>
        <v>880</v>
      </c>
      <c r="E51" s="11">
        <f t="shared" si="9"/>
        <v>879.0571010248902</v>
      </c>
      <c r="F51" s="11">
        <f t="shared" si="9"/>
        <v>879.0571010248902</v>
      </c>
      <c r="G51" s="11">
        <f t="shared" si="9"/>
        <v>879.0571010248902</v>
      </c>
      <c r="H51" s="11">
        <f t="shared" si="9"/>
        <v>879.0571010248902</v>
      </c>
      <c r="I51" s="11">
        <f t="shared" si="9"/>
        <v>879.0571010248902</v>
      </c>
    </row>
    <row r="52" spans="2:9" ht="12.75">
      <c r="B52" s="10" t="s">
        <v>42</v>
      </c>
      <c r="C52" s="10"/>
      <c r="D52" s="26">
        <f>'Kids R Us'!H57</f>
        <v>-20</v>
      </c>
      <c r="E52" s="17">
        <f>'Kids R Us'!I57</f>
        <v>0</v>
      </c>
      <c r="F52" s="17">
        <f>'Kids R Us'!J57</f>
        <v>0</v>
      </c>
      <c r="G52" s="17">
        <f>'Kids R Us'!K57</f>
        <v>0</v>
      </c>
      <c r="H52" s="17">
        <f>'Kids R Us'!L57</f>
        <v>0</v>
      </c>
      <c r="I52" s="17">
        <f>'Kids R Us'!M57</f>
        <v>0</v>
      </c>
    </row>
    <row r="53" spans="2:9" ht="12.75">
      <c r="B53" s="1" t="s">
        <v>153</v>
      </c>
      <c r="D53" s="25">
        <f aca="true" t="shared" si="10" ref="D53:I53">D51+D52</f>
        <v>860</v>
      </c>
      <c r="E53" s="21">
        <f t="shared" si="10"/>
        <v>879.0571010248902</v>
      </c>
      <c r="F53" s="21">
        <f t="shared" si="10"/>
        <v>879.0571010248902</v>
      </c>
      <c r="G53" s="21">
        <f t="shared" si="10"/>
        <v>879.0571010248902</v>
      </c>
      <c r="H53" s="21">
        <f t="shared" si="10"/>
        <v>879.0571010248902</v>
      </c>
      <c r="I53" s="21">
        <f t="shared" si="10"/>
        <v>879.0571010248902</v>
      </c>
    </row>
    <row r="54" spans="2:9" ht="12.75">
      <c r="B54" s="10" t="s">
        <v>154</v>
      </c>
      <c r="C54" s="10"/>
      <c r="D54" s="26">
        <f aca="true" t="shared" si="11" ref="D54:I54">-D52</f>
        <v>20</v>
      </c>
      <c r="E54" s="17">
        <f t="shared" si="11"/>
        <v>0</v>
      </c>
      <c r="F54" s="17">
        <f t="shared" si="11"/>
        <v>0</v>
      </c>
      <c r="G54" s="17">
        <f t="shared" si="11"/>
        <v>0</v>
      </c>
      <c r="H54" s="17">
        <f t="shared" si="11"/>
        <v>0</v>
      </c>
      <c r="I54" s="17">
        <f t="shared" si="11"/>
        <v>0</v>
      </c>
    </row>
    <row r="55" spans="2:9" ht="12.75">
      <c r="B55" s="174" t="s">
        <v>157</v>
      </c>
      <c r="C55" s="174"/>
      <c r="D55" s="175">
        <f aca="true" t="shared" si="12" ref="D55:I55">D53+D54</f>
        <v>880</v>
      </c>
      <c r="E55" s="176">
        <f t="shared" si="12"/>
        <v>879.0571010248902</v>
      </c>
      <c r="F55" s="176">
        <f t="shared" si="12"/>
        <v>879.0571010248902</v>
      </c>
      <c r="G55" s="176">
        <f t="shared" si="12"/>
        <v>879.0571010248902</v>
      </c>
      <c r="H55" s="176">
        <f t="shared" si="12"/>
        <v>879.0571010248902</v>
      </c>
      <c r="I55" s="176">
        <f t="shared" si="12"/>
        <v>879.0571010248902</v>
      </c>
    </row>
    <row r="56" spans="4:10" s="8" customFormat="1" ht="12.75">
      <c r="D56" s="28"/>
      <c r="J56" s="80"/>
    </row>
    <row r="57" spans="2:9" ht="13.5" thickBot="1">
      <c r="B57" s="4" t="s">
        <v>130</v>
      </c>
      <c r="C57" s="4"/>
      <c r="D57" s="29">
        <f aca="true" t="shared" si="13" ref="D57:I57">D17+N17+D34+N34</f>
        <v>1</v>
      </c>
      <c r="E57" s="20">
        <f t="shared" si="13"/>
        <v>0.9999999999999999</v>
      </c>
      <c r="F57" s="20">
        <f t="shared" si="13"/>
        <v>0.9999999999999999</v>
      </c>
      <c r="G57" s="20">
        <f t="shared" si="13"/>
        <v>0.9999999999999999</v>
      </c>
      <c r="H57" s="20">
        <f t="shared" si="13"/>
        <v>0.9999999999999999</v>
      </c>
      <c r="I57" s="20">
        <f t="shared" si="13"/>
        <v>0.9999999999999999</v>
      </c>
    </row>
  </sheetData>
  <sheetProtection/>
  <printOptions/>
  <pageMargins left="0.5" right="0.5" top="0.5" bottom="0.5" header="0.5" footer="0.5"/>
  <pageSetup horizontalDpi="600" verticalDpi="600" orientation="landscape" scale="90" r:id="rId1"/>
  <headerFooter alignWithMargins="0">
    <oddFooter>&amp;R&amp;"Times New Roman,Regular"&amp;8Page &amp;P &amp;D / &amp;T</oddFooter>
  </headerFooter>
</worksheet>
</file>

<file path=xl/worksheets/sheet21.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A1" sqref="A1"/>
    </sheetView>
  </sheetViews>
  <sheetFormatPr defaultColWidth="10.7109375" defaultRowHeight="12.75"/>
  <cols>
    <col min="1" max="12" width="10.7109375" style="1" customWidth="1"/>
    <col min="13" max="13" width="10.7109375" style="76" customWidth="1"/>
    <col min="14" max="16384" width="10.7109375" style="1" customWidth="1"/>
  </cols>
  <sheetData>
    <row r="1" spans="2:13" ht="15.75">
      <c r="B1" s="181" t="s">
        <v>317</v>
      </c>
      <c r="C1" s="177"/>
      <c r="D1" s="177"/>
      <c r="E1" s="177"/>
      <c r="F1" s="177"/>
      <c r="G1" s="177"/>
      <c r="H1" s="177"/>
      <c r="I1" s="177"/>
      <c r="J1" s="177"/>
      <c r="K1" s="177"/>
      <c r="L1" s="177"/>
      <c r="M1" s="178"/>
    </row>
    <row r="2" spans="2:13" s="133" customFormat="1" ht="15.75">
      <c r="B2" s="182"/>
      <c r="M2" s="180"/>
    </row>
    <row r="3" ht="13.5">
      <c r="B3" s="2" t="str">
        <f>'Summary of Consolidated Fins'!B2</f>
        <v>Summary Financial Results</v>
      </c>
    </row>
    <row r="4" ht="12.75">
      <c r="B4" s="5" t="str">
        <f>'Summary of Consolidated Fins'!B3</f>
        <v>($ in millions)</v>
      </c>
    </row>
    <row r="5" ht="12.75">
      <c r="B5" s="5"/>
    </row>
    <row r="6" ht="13.5">
      <c r="B6" s="2" t="str">
        <f>'Summary of Consolidated Fins'!B5</f>
        <v>Base Case</v>
      </c>
    </row>
    <row r="7" spans="2:13" ht="14.25" thickBot="1">
      <c r="B7" s="3"/>
      <c r="C7" s="4"/>
      <c r="D7" s="4"/>
      <c r="E7" s="4"/>
      <c r="F7" s="4"/>
      <c r="G7" s="4"/>
      <c r="H7" s="4"/>
      <c r="I7" s="4"/>
      <c r="J7" s="4"/>
      <c r="K7" s="4"/>
      <c r="L7" s="4"/>
      <c r="M7" s="77"/>
    </row>
    <row r="8" spans="2:13" ht="13.5">
      <c r="B8" s="5" t="str">
        <f>'Summary of Consolidated Fins'!B7</f>
        <v>For the FYE January 31</v>
      </c>
      <c r="E8" s="12" t="str">
        <f>'Summary of Consolidated Fins'!F7</f>
        <v>Actual</v>
      </c>
      <c r="F8" s="13"/>
      <c r="G8" s="14"/>
      <c r="H8" s="12" t="str">
        <f>'Summary of Consolidated Fins'!I7</f>
        <v>Projected</v>
      </c>
      <c r="I8" s="12"/>
      <c r="J8" s="12"/>
      <c r="K8" s="13"/>
      <c r="L8" s="6"/>
      <c r="M8" s="33" t="str">
        <f>'Summary of Consolidated Fins'!N7</f>
        <v>CAGR</v>
      </c>
    </row>
    <row r="9" spans="2:13" ht="12.75">
      <c r="B9" s="7"/>
      <c r="C9" s="7"/>
      <c r="D9" s="7"/>
      <c r="E9" s="15">
        <f>'Summary of Consolidated Fins'!F8</f>
        <v>2003</v>
      </c>
      <c r="F9" s="15">
        <f>'Summary of Consolidated Fins'!G8</f>
        <v>2004</v>
      </c>
      <c r="G9" s="16">
        <f>'Summary of Consolidated Fins'!H8</f>
        <v>2005</v>
      </c>
      <c r="H9" s="15">
        <f>'Summary of Consolidated Fins'!I8</f>
        <v>2006</v>
      </c>
      <c r="I9" s="15">
        <f>'Summary of Consolidated Fins'!J8</f>
        <v>2007</v>
      </c>
      <c r="J9" s="15">
        <f>'Summary of Consolidated Fins'!K8</f>
        <v>2008</v>
      </c>
      <c r="K9" s="15">
        <f>'Summary of Consolidated Fins'!L8</f>
        <v>2009</v>
      </c>
      <c r="L9" s="32">
        <f>'Summary of Consolidated Fins'!M8</f>
        <v>2010</v>
      </c>
      <c r="M9" s="34" t="str">
        <f>'Summary of Consolidated Fins'!N8</f>
        <v>'05-'10</v>
      </c>
    </row>
    <row r="10" spans="2:13" ht="12.75">
      <c r="B10" s="1" t="str">
        <f>'Summary of Consolidated Fins'!B9</f>
        <v>Consolidated Net Sales</v>
      </c>
      <c r="E10" s="11">
        <f>'Summary of Consolidated Fins'!F9</f>
        <v>11305</v>
      </c>
      <c r="F10" s="11">
        <f>'Summary of Consolidated Fins'!G9</f>
        <v>11320</v>
      </c>
      <c r="G10" s="24">
        <f>'Summary of Consolidated Fins'!H9</f>
        <v>11100</v>
      </c>
      <c r="H10" s="11">
        <f>'Summary of Consolidated Fins'!I9</f>
        <v>11054.125915080527</v>
      </c>
      <c r="I10" s="11">
        <f>'Summary of Consolidated Fins'!J9</f>
        <v>11054.125915080527</v>
      </c>
      <c r="J10" s="11">
        <f>'Summary of Consolidated Fins'!K9</f>
        <v>11054.125915080527</v>
      </c>
      <c r="K10" s="11">
        <f>'Summary of Consolidated Fins'!L9</f>
        <v>11054.125915080527</v>
      </c>
      <c r="L10" s="11">
        <f>'Summary of Consolidated Fins'!M9</f>
        <v>11054.125915080527</v>
      </c>
      <c r="M10" s="78">
        <f>'Summary of Consolidated Fins'!N9</f>
        <v>-0.0008279298898753451</v>
      </c>
    </row>
    <row r="11" spans="2:13" ht="12.75">
      <c r="B11" s="18" t="str">
        <f>'Summary of Consolidated Fins'!B10</f>
        <v>   Growth</v>
      </c>
      <c r="F11" s="9">
        <f>'Summary of Consolidated Fins'!G10</f>
        <v>0.0013268465280849018</v>
      </c>
      <c r="G11" s="27">
        <f>'Summary of Consolidated Fins'!H10</f>
        <v>-0.019434628975265045</v>
      </c>
      <c r="H11" s="9">
        <f>'Summary of Consolidated Fins'!I10</f>
        <v>-0.00413280044319575</v>
      </c>
      <c r="I11" s="9">
        <f>'Summary of Consolidated Fins'!J10</f>
        <v>0</v>
      </c>
      <c r="J11" s="9">
        <f>'Summary of Consolidated Fins'!K10</f>
        <v>0</v>
      </c>
      <c r="K11" s="9">
        <f>'Summary of Consolidated Fins'!L10</f>
        <v>0</v>
      </c>
      <c r="L11" s="9">
        <f>'Summary of Consolidated Fins'!M10</f>
        <v>0</v>
      </c>
      <c r="M11" s="78"/>
    </row>
    <row r="12" spans="2:12" ht="12.75">
      <c r="B12" s="18"/>
      <c r="F12" s="9"/>
      <c r="G12" s="27"/>
      <c r="H12" s="9"/>
      <c r="I12" s="9"/>
      <c r="J12" s="9"/>
      <c r="K12" s="9"/>
      <c r="L12" s="9"/>
    </row>
    <row r="13" spans="2:13" ht="12.75">
      <c r="B13" s="1" t="str">
        <f>'Summary of Consolidated Fins'!B12</f>
        <v>COGS &amp; SG&amp;A by Segment</v>
      </c>
      <c r="E13" s="11">
        <f>'Summary of Consolidated Fins'!F12</f>
        <v>10494</v>
      </c>
      <c r="F13" s="11">
        <f>'Summary of Consolidated Fins'!G12</f>
        <v>10649</v>
      </c>
      <c r="G13" s="24">
        <f>'Summary of Consolidated Fins'!H12</f>
        <v>10240</v>
      </c>
      <c r="H13" s="11">
        <f>'Summary of Consolidated Fins'!I12</f>
        <v>10175.068814055638</v>
      </c>
      <c r="I13" s="11">
        <f>'Summary of Consolidated Fins'!J12</f>
        <v>10175.068814055638</v>
      </c>
      <c r="J13" s="11">
        <f>'Summary of Consolidated Fins'!K12</f>
        <v>10175.068814055638</v>
      </c>
      <c r="K13" s="11">
        <f>'Summary of Consolidated Fins'!L12</f>
        <v>10175.068814055638</v>
      </c>
      <c r="L13" s="11">
        <f>'Summary of Consolidated Fins'!M12</f>
        <v>10175.068814055638</v>
      </c>
      <c r="M13" s="78">
        <f>'Summary of Consolidated Fins'!N12</f>
        <v>-0.0012714161154800951</v>
      </c>
    </row>
    <row r="14" spans="2:12" ht="12.75">
      <c r="B14" s="18" t="str">
        <f>'Summary of Consolidated Fins'!B13</f>
        <v>   Growth</v>
      </c>
      <c r="F14" s="9">
        <f>'Summary of Consolidated Fins'!G13</f>
        <v>0.014770344959024184</v>
      </c>
      <c r="G14" s="27">
        <f>'Summary of Consolidated Fins'!H13</f>
        <v>-0.038407362193633166</v>
      </c>
      <c r="H14" s="9">
        <f>'Summary of Consolidated Fins'!I13</f>
        <v>-0.006340936127379182</v>
      </c>
      <c r="I14" s="9">
        <f>'Summary of Consolidated Fins'!J13</f>
        <v>0</v>
      </c>
      <c r="J14" s="9">
        <f>'Summary of Consolidated Fins'!K13</f>
        <v>0</v>
      </c>
      <c r="K14" s="9">
        <f>'Summary of Consolidated Fins'!L13</f>
        <v>0</v>
      </c>
      <c r="L14" s="9">
        <f>'Summary of Consolidated Fins'!M13</f>
        <v>0</v>
      </c>
    </row>
    <row r="15" spans="2:12" ht="12.75">
      <c r="B15" s="18" t="str">
        <f>'Summary of Consolidated Fins'!B14</f>
        <v>   Margin</v>
      </c>
      <c r="E15" s="9">
        <f>'Summary of Consolidated Fins'!F14</f>
        <v>0.9282618310482088</v>
      </c>
      <c r="F15" s="9">
        <f>'Summary of Consolidated Fins'!G14</f>
        <v>0.9407243816254417</v>
      </c>
      <c r="G15" s="27">
        <f>'Summary of Consolidated Fins'!H14</f>
        <v>0.9225225225225225</v>
      </c>
      <c r="H15" s="9">
        <f>'Summary of Consolidated Fins'!I14</f>
        <v>0.9204770139423109</v>
      </c>
      <c r="I15" s="9">
        <f>'Summary of Consolidated Fins'!J14</f>
        <v>0.9204770139423109</v>
      </c>
      <c r="J15" s="9">
        <f>'Summary of Consolidated Fins'!K14</f>
        <v>0.9204770139423109</v>
      </c>
      <c r="K15" s="9">
        <f>'Summary of Consolidated Fins'!L14</f>
        <v>0.9204770139423109</v>
      </c>
      <c r="L15" s="9">
        <f>'Summary of Consolidated Fins'!M14</f>
        <v>0.9204770139423109</v>
      </c>
    </row>
    <row r="16" ht="12.75">
      <c r="G16" s="28"/>
    </row>
    <row r="17" spans="1:13" ht="12.75">
      <c r="A17" s="11"/>
      <c r="B17" s="1" t="str">
        <f>'Summary of Consolidated Fins'!B16</f>
        <v>EBITDA by Segment</v>
      </c>
      <c r="E17" s="11">
        <f>'Summary of Consolidated Fins'!F16</f>
        <v>811</v>
      </c>
      <c r="F17" s="11">
        <f>'Summary of Consolidated Fins'!G16</f>
        <v>671</v>
      </c>
      <c r="G17" s="24">
        <f>'Summary of Consolidated Fins'!H16</f>
        <v>860</v>
      </c>
      <c r="H17" s="11">
        <f>'Summary of Consolidated Fins'!I16</f>
        <v>879.0571010248902</v>
      </c>
      <c r="I17" s="11">
        <f>'Summary of Consolidated Fins'!J16</f>
        <v>879.0571010248902</v>
      </c>
      <c r="J17" s="11">
        <f>'Summary of Consolidated Fins'!K16</f>
        <v>879.0571010248902</v>
      </c>
      <c r="K17" s="11">
        <f>'Summary of Consolidated Fins'!L16</f>
        <v>879.0571010248902</v>
      </c>
      <c r="L17" s="11">
        <f>'Summary of Consolidated Fins'!M16</f>
        <v>879.0571010248902</v>
      </c>
      <c r="M17" s="78">
        <f>'Summary of Consolidated Fins'!N16</f>
        <v>0.004393115096478217</v>
      </c>
    </row>
    <row r="18" spans="2:12" ht="12.75">
      <c r="B18" s="18" t="str">
        <f>'Summary of Consolidated Fins'!B17</f>
        <v>   Growth</v>
      </c>
      <c r="F18" s="9">
        <f>'Summary of Consolidated Fins'!G17</f>
        <v>-0.1726263871763255</v>
      </c>
      <c r="G18" s="27">
        <f>'Summary of Consolidated Fins'!H17</f>
        <v>0.28166915052160957</v>
      </c>
      <c r="H18" s="9">
        <f>'Summary of Consolidated Fins'!I17</f>
        <v>0.022159419796383917</v>
      </c>
      <c r="I18" s="9">
        <f>'Summary of Consolidated Fins'!J17</f>
        <v>0</v>
      </c>
      <c r="J18" s="9">
        <f>'Summary of Consolidated Fins'!K17</f>
        <v>0</v>
      </c>
      <c r="K18" s="9">
        <f>'Summary of Consolidated Fins'!L17</f>
        <v>0</v>
      </c>
      <c r="L18" s="9">
        <f>'Summary of Consolidated Fins'!M17</f>
        <v>0</v>
      </c>
    </row>
    <row r="19" spans="2:12" ht="12.75">
      <c r="B19" s="18" t="str">
        <f>'Summary of Consolidated Fins'!B18</f>
        <v>   Margin</v>
      </c>
      <c r="E19" s="9">
        <f>'Summary of Consolidated Fins'!F18</f>
        <v>0.07173816895179125</v>
      </c>
      <c r="F19" s="9">
        <f>'Summary of Consolidated Fins'!G18</f>
        <v>0.0592756183745583</v>
      </c>
      <c r="G19" s="27">
        <f>'Summary of Consolidated Fins'!H18</f>
        <v>0.07747747747747748</v>
      </c>
      <c r="H19" s="9">
        <f>'Summary of Consolidated Fins'!I18</f>
        <v>0.07952298605768926</v>
      </c>
      <c r="I19" s="9">
        <f>'Summary of Consolidated Fins'!J18</f>
        <v>0.07952298605768926</v>
      </c>
      <c r="J19" s="9">
        <f>'Summary of Consolidated Fins'!K18</f>
        <v>0.07952298605768926</v>
      </c>
      <c r="K19" s="9">
        <f>'Summary of Consolidated Fins'!L18</f>
        <v>0.07952298605768926</v>
      </c>
      <c r="L19" s="9">
        <f>'Summary of Consolidated Fins'!M18</f>
        <v>0.07952298605768926</v>
      </c>
    </row>
    <row r="20" ht="12.75">
      <c r="G20" s="28"/>
    </row>
    <row r="21" spans="2:13" ht="12.75">
      <c r="B21" s="10" t="str">
        <f>'Summary of Consolidated Fins'!B20</f>
        <v>Corporate / Other Expenses</v>
      </c>
      <c r="C21" s="10"/>
      <c r="D21" s="10"/>
      <c r="E21" s="17">
        <f>'Summary of Consolidated Fins'!F20</f>
        <v>29</v>
      </c>
      <c r="F21" s="17">
        <f>'Summary of Consolidated Fins'!G20</f>
        <v>23</v>
      </c>
      <c r="G21" s="26">
        <f>'Summary of Consolidated Fins'!H20</f>
        <v>80</v>
      </c>
      <c r="H21" s="17">
        <f>'Summary of Consolidated Fins'!I20</f>
        <v>79.66937596454434</v>
      </c>
      <c r="I21" s="17">
        <f>'Summary of Consolidated Fins'!J20</f>
        <v>79.66937596454434</v>
      </c>
      <c r="J21" s="17">
        <f>'Summary of Consolidated Fins'!K20</f>
        <v>79.66937596454434</v>
      </c>
      <c r="K21" s="17">
        <f>'Summary of Consolidated Fins'!L20</f>
        <v>79.66937596454434</v>
      </c>
      <c r="L21" s="17">
        <f>'Summary of Consolidated Fins'!M20</f>
        <v>79.66937596454434</v>
      </c>
      <c r="M21" s="79">
        <f>'Summary of Consolidated Fins'!N20</f>
        <v>-0.0008279298898753451</v>
      </c>
    </row>
    <row r="22" spans="2:13" ht="12.75">
      <c r="B22" s="1" t="str">
        <f>'Summary of Consolidated Fins'!B21</f>
        <v>Consolidated EBITDA</v>
      </c>
      <c r="E22" s="11">
        <f>'Summary of Consolidated Fins'!F21</f>
        <v>782</v>
      </c>
      <c r="F22" s="11">
        <f>'Summary of Consolidated Fins'!G21</f>
        <v>648</v>
      </c>
      <c r="G22" s="24">
        <f>'Summary of Consolidated Fins'!H21</f>
        <v>780</v>
      </c>
      <c r="H22" s="11">
        <f>'Summary of Consolidated Fins'!I21</f>
        <v>799.3877250603459</v>
      </c>
      <c r="I22" s="11">
        <f>'Summary of Consolidated Fins'!J21</f>
        <v>799.3877250603459</v>
      </c>
      <c r="J22" s="11">
        <f>'Summary of Consolidated Fins'!K21</f>
        <v>799.3877250603459</v>
      </c>
      <c r="K22" s="11">
        <f>'Summary of Consolidated Fins'!L21</f>
        <v>799.3877250603459</v>
      </c>
      <c r="L22" s="11">
        <f>'Summary of Consolidated Fins'!M21</f>
        <v>799.3877250603459</v>
      </c>
      <c r="M22" s="78">
        <f>'Summary of Consolidated Fins'!N21</f>
        <v>0.004922510197188368</v>
      </c>
    </row>
    <row r="23" spans="2:12" ht="12.75">
      <c r="B23" s="18" t="str">
        <f>'Summary of Consolidated Fins'!B22</f>
        <v>   Growth</v>
      </c>
      <c r="F23" s="9">
        <f>'Summary of Consolidated Fins'!G22</f>
        <v>-0.17135549872122757</v>
      </c>
      <c r="G23" s="27">
        <f>'Summary of Consolidated Fins'!H22</f>
        <v>0.20370370370370372</v>
      </c>
      <c r="H23" s="9">
        <f>'Summary of Consolidated Fins'!I22</f>
        <v>0.024856057769674367</v>
      </c>
      <c r="I23" s="9">
        <f>'Summary of Consolidated Fins'!J22</f>
        <v>0</v>
      </c>
      <c r="J23" s="9">
        <f>'Summary of Consolidated Fins'!K22</f>
        <v>0</v>
      </c>
      <c r="K23" s="9">
        <f>'Summary of Consolidated Fins'!L22</f>
        <v>0</v>
      </c>
      <c r="L23" s="9">
        <f>'Summary of Consolidated Fins'!M22</f>
        <v>0</v>
      </c>
    </row>
    <row r="24" spans="2:13" s="8" customFormat="1" ht="12.75">
      <c r="B24" s="18" t="str">
        <f>'Summary of Consolidated Fins'!B23</f>
        <v>   Margin</v>
      </c>
      <c r="E24" s="31">
        <f>'Summary of Consolidated Fins'!F23</f>
        <v>0.06917293233082707</v>
      </c>
      <c r="F24" s="31">
        <f>'Summary of Consolidated Fins'!G23</f>
        <v>0.05724381625441696</v>
      </c>
      <c r="G24" s="27">
        <f>'Summary of Consolidated Fins'!H23</f>
        <v>0.07027027027027027</v>
      </c>
      <c r="H24" s="31">
        <f>'Summary of Consolidated Fins'!I23</f>
        <v>0.07231577885048206</v>
      </c>
      <c r="I24" s="31">
        <f>'Summary of Consolidated Fins'!J23</f>
        <v>0.07231577885048206</v>
      </c>
      <c r="J24" s="31">
        <f>'Summary of Consolidated Fins'!K23</f>
        <v>0.07231577885048206</v>
      </c>
      <c r="K24" s="31">
        <f>'Summary of Consolidated Fins'!L23</f>
        <v>0.07231577885048206</v>
      </c>
      <c r="L24" s="31">
        <f>'Summary of Consolidated Fins'!M23</f>
        <v>0.07231577885048206</v>
      </c>
      <c r="M24" s="80"/>
    </row>
    <row r="25" spans="2:12" ht="12.75">
      <c r="B25" s="18"/>
      <c r="C25" s="8"/>
      <c r="D25" s="8"/>
      <c r="E25" s="31"/>
      <c r="F25" s="31"/>
      <c r="G25" s="27"/>
      <c r="H25" s="31"/>
      <c r="I25" s="31"/>
      <c r="J25" s="31"/>
      <c r="K25" s="31"/>
      <c r="L25" s="31"/>
    </row>
    <row r="26" spans="2:13" s="8" customFormat="1" ht="12.75">
      <c r="B26" s="8" t="str">
        <f>'Summary of Consolidated Fins'!B25</f>
        <v>D&amp;A by Segment</v>
      </c>
      <c r="E26" s="11">
        <f>'Summary of Consolidated Fins'!F25</f>
        <v>293</v>
      </c>
      <c r="F26" s="11">
        <f>'Summary of Consolidated Fins'!G25</f>
        <v>328</v>
      </c>
      <c r="G26" s="24">
        <f>'Summary of Consolidated Fins'!H25</f>
        <v>318</v>
      </c>
      <c r="H26" s="11">
        <f>'Summary of Consolidated Fins'!I25</f>
        <v>312.41434846266475</v>
      </c>
      <c r="I26" s="11">
        <f>'Summary of Consolidated Fins'!J25</f>
        <v>312.41434846266475</v>
      </c>
      <c r="J26" s="11">
        <f>'Summary of Consolidated Fins'!K25</f>
        <v>312.41434846266475</v>
      </c>
      <c r="K26" s="11">
        <f>'Summary of Consolidated Fins'!L25</f>
        <v>312.41434846266475</v>
      </c>
      <c r="L26" s="11">
        <f>'Summary of Consolidated Fins'!M25</f>
        <v>312.41434846266475</v>
      </c>
      <c r="M26" s="81">
        <f>'Summary of Consolidated Fins'!N25</f>
        <v>-0.003537933929329995</v>
      </c>
    </row>
    <row r="27" spans="2:13" ht="12.75">
      <c r="B27" s="1" t="str">
        <f>'Summary of Consolidated Fins'!B26</f>
        <v>Other D&amp;A</v>
      </c>
      <c r="E27" s="21">
        <f>'Summary of Consolidated Fins'!F26</f>
        <v>46</v>
      </c>
      <c r="F27" s="21">
        <f>'Summary of Consolidated Fins'!G26</f>
        <v>40</v>
      </c>
      <c r="G27" s="25">
        <f>'Summary of Consolidated Fins'!H26</f>
        <v>36</v>
      </c>
      <c r="H27" s="21">
        <f>'Summary of Consolidated Fins'!I26</f>
        <v>35.85121918404495</v>
      </c>
      <c r="I27" s="21">
        <f>'Summary of Consolidated Fins'!J26</f>
        <v>35.85121918404495</v>
      </c>
      <c r="J27" s="21">
        <f>'Summary of Consolidated Fins'!K26</f>
        <v>35.85121918404495</v>
      </c>
      <c r="K27" s="21">
        <f>'Summary of Consolidated Fins'!L26</f>
        <v>35.85121918404495</v>
      </c>
      <c r="L27" s="21">
        <f>'Summary of Consolidated Fins'!M26</f>
        <v>35.85121918404495</v>
      </c>
      <c r="M27" s="78">
        <f>'Summary of Consolidated Fins'!N26</f>
        <v>-0.0008279298898753451</v>
      </c>
    </row>
    <row r="28" spans="2:13" ht="12.75">
      <c r="B28" s="10" t="str">
        <f>'Summary of Consolidated Fins'!B27</f>
        <v>Restructuring Charges</v>
      </c>
      <c r="C28" s="10"/>
      <c r="D28" s="10"/>
      <c r="E28" s="17">
        <f>'Summary of Consolidated Fins'!F27</f>
        <v>0</v>
      </c>
      <c r="F28" s="17">
        <f>'Summary of Consolidated Fins'!G27</f>
        <v>63</v>
      </c>
      <c r="G28" s="26">
        <f>'Summary of Consolidated Fins'!H27</f>
        <v>4</v>
      </c>
      <c r="H28" s="17">
        <f>'Summary of Consolidated Fins'!I27</f>
        <v>0</v>
      </c>
      <c r="I28" s="17">
        <f>'Summary of Consolidated Fins'!J27</f>
        <v>0</v>
      </c>
      <c r="J28" s="17">
        <f>'Summary of Consolidated Fins'!K27</f>
        <v>0</v>
      </c>
      <c r="K28" s="17">
        <f>'Summary of Consolidated Fins'!L27</f>
        <v>0</v>
      </c>
      <c r="L28" s="17">
        <f>'Summary of Consolidated Fins'!M27</f>
        <v>0</v>
      </c>
      <c r="M28" s="79">
        <f>'Summary of Consolidated Fins'!N27</f>
        <v>-1</v>
      </c>
    </row>
    <row r="29" spans="2:13" ht="12.75">
      <c r="B29" s="1" t="str">
        <f>'Summary of Consolidated Fins'!B28</f>
        <v>Consolidated EBIT</v>
      </c>
      <c r="E29" s="11">
        <f>'Summary of Consolidated Fins'!F28</f>
        <v>443</v>
      </c>
      <c r="F29" s="11">
        <f>'Summary of Consolidated Fins'!G28</f>
        <v>217</v>
      </c>
      <c r="G29" s="24">
        <f>'Summary of Consolidated Fins'!H28</f>
        <v>422</v>
      </c>
      <c r="H29" s="11">
        <f>'Summary of Consolidated Fins'!I28</f>
        <v>451.1221574136362</v>
      </c>
      <c r="I29" s="11">
        <f>'Summary of Consolidated Fins'!J28</f>
        <v>451.1221574136362</v>
      </c>
      <c r="J29" s="11">
        <f>'Summary of Consolidated Fins'!K28</f>
        <v>451.1221574136362</v>
      </c>
      <c r="K29" s="11">
        <f>'Summary of Consolidated Fins'!L28</f>
        <v>451.1221574136362</v>
      </c>
      <c r="L29" s="11">
        <f>'Summary of Consolidated Fins'!M28</f>
        <v>451.1221574136362</v>
      </c>
      <c r="M29" s="78">
        <f>'Summary of Consolidated Fins'!N28</f>
        <v>0.013436032584863478</v>
      </c>
    </row>
    <row r="30" spans="2:12" ht="12.75">
      <c r="B30" s="18" t="str">
        <f>'Summary of Consolidated Fins'!B29</f>
        <v>   Growth</v>
      </c>
      <c r="F30" s="9">
        <f>'Summary of Consolidated Fins'!G29</f>
        <v>-0.510158013544018</v>
      </c>
      <c r="G30" s="27">
        <f>'Summary of Consolidated Fins'!H29</f>
        <v>0.9447004608294931</v>
      </c>
      <c r="H30" s="9">
        <f>'Summary of Consolidated Fins'!I29</f>
        <v>0.06900985169108109</v>
      </c>
      <c r="I30" s="9">
        <f>'Summary of Consolidated Fins'!J29</f>
        <v>0</v>
      </c>
      <c r="J30" s="9">
        <f>'Summary of Consolidated Fins'!K29</f>
        <v>0</v>
      </c>
      <c r="K30" s="9">
        <f>'Summary of Consolidated Fins'!L29</f>
        <v>0</v>
      </c>
      <c r="L30" s="9">
        <f>'Summary of Consolidated Fins'!M29</f>
        <v>0</v>
      </c>
    </row>
    <row r="31" spans="2:12" ht="12.75">
      <c r="B31" s="18" t="str">
        <f>'Summary of Consolidated Fins'!B30</f>
        <v>   Margin</v>
      </c>
      <c r="E31" s="31">
        <f>'Summary of Consolidated Fins'!F30</f>
        <v>0.03918620079610792</v>
      </c>
      <c r="F31" s="31">
        <f>'Summary of Consolidated Fins'!G30</f>
        <v>0.019169611307420495</v>
      </c>
      <c r="G31" s="27">
        <f>'Summary of Consolidated Fins'!H30</f>
        <v>0.03801801801801802</v>
      </c>
      <c r="H31" s="31">
        <f>'Summary of Consolidated Fins'!I30</f>
        <v>0.04081029661496758</v>
      </c>
      <c r="I31" s="31">
        <f>'Summary of Consolidated Fins'!J30</f>
        <v>0.04081029661496758</v>
      </c>
      <c r="J31" s="31">
        <f>'Summary of Consolidated Fins'!K30</f>
        <v>0.04081029661496758</v>
      </c>
      <c r="K31" s="31">
        <f>'Summary of Consolidated Fins'!L30</f>
        <v>0.04081029661496758</v>
      </c>
      <c r="L31" s="31">
        <f>'Summary of Consolidated Fins'!M30</f>
        <v>0.04081029661496758</v>
      </c>
    </row>
    <row r="32" ht="12.75">
      <c r="G32" s="28"/>
    </row>
    <row r="33" spans="2:13" ht="12.75">
      <c r="B33" s="1" t="str">
        <f>'Summary of Consolidated Fins'!B32</f>
        <v>Net Capex</v>
      </c>
      <c r="E33" s="11">
        <f>'Summary of Consolidated Fins'!F32</f>
        <v>395</v>
      </c>
      <c r="F33" s="11">
        <f>'Summary of Consolidated Fins'!G32</f>
        <v>262</v>
      </c>
      <c r="G33" s="24">
        <f>'Summary of Consolidated Fins'!H32</f>
        <v>269</v>
      </c>
      <c r="H33" s="11">
        <f>'Summary of Consolidated Fins'!I32</f>
        <v>267.88827668078034</v>
      </c>
      <c r="I33" s="11">
        <f>'Summary of Consolidated Fins'!J32</f>
        <v>267.88827668078034</v>
      </c>
      <c r="J33" s="11">
        <f>'Summary of Consolidated Fins'!K32</f>
        <v>267.88827668078034</v>
      </c>
      <c r="K33" s="11">
        <f>'Summary of Consolidated Fins'!L32</f>
        <v>267.88827668078034</v>
      </c>
      <c r="L33" s="11">
        <f>'Summary of Consolidated Fins'!M32</f>
        <v>267.88827668078034</v>
      </c>
      <c r="M33" s="78">
        <f>'Summary of Consolidated Fins'!N32</f>
        <v>-0.0008279298898753451</v>
      </c>
    </row>
    <row r="34" spans="2:13" ht="12.75">
      <c r="B34" s="18" t="str">
        <f>'Summary of Consolidated Fins'!B33</f>
        <v>   Margin</v>
      </c>
      <c r="C34" s="8"/>
      <c r="D34" s="8"/>
      <c r="E34" s="31">
        <f>'Summary of Consolidated Fins'!F33</f>
        <v>0.03494029190623618</v>
      </c>
      <c r="F34" s="31">
        <f>'Summary of Consolidated Fins'!G33</f>
        <v>0.02314487632508834</v>
      </c>
      <c r="G34" s="27">
        <f>'Summary of Consolidated Fins'!H33</f>
        <v>0.024234234234234233</v>
      </c>
      <c r="H34" s="31">
        <f>'Summary of Consolidated Fins'!I33</f>
        <v>0.024234234234234233</v>
      </c>
      <c r="I34" s="31">
        <f>'Summary of Consolidated Fins'!J33</f>
        <v>0.024234234234234233</v>
      </c>
      <c r="J34" s="31">
        <f>'Summary of Consolidated Fins'!K33</f>
        <v>0.024234234234234233</v>
      </c>
      <c r="K34" s="31">
        <f>'Summary of Consolidated Fins'!L33</f>
        <v>0.024234234234234233</v>
      </c>
      <c r="L34" s="31">
        <f>'Summary of Consolidated Fins'!M33</f>
        <v>0.024234234234234233</v>
      </c>
      <c r="M34" s="81">
        <f>'Summary of Consolidated Fins'!N33</f>
        <v>0</v>
      </c>
    </row>
    <row r="35" spans="2:13" s="8" customFormat="1" ht="12.75">
      <c r="B35" s="18"/>
      <c r="E35" s="31"/>
      <c r="F35" s="31"/>
      <c r="G35" s="27"/>
      <c r="H35" s="31"/>
      <c r="I35" s="31"/>
      <c r="J35" s="31"/>
      <c r="K35" s="31"/>
      <c r="L35" s="31"/>
      <c r="M35" s="81"/>
    </row>
    <row r="36" spans="2:13" ht="13.5" thickBot="1">
      <c r="B36" s="144" t="str">
        <f>'Summary of Consolidated Fins'!B35</f>
        <v>Proceeds from Store Sales (After-Tax)</v>
      </c>
      <c r="C36" s="4"/>
      <c r="D36" s="4"/>
      <c r="E36" s="20">
        <f>'Summary of Consolidated Fins'!F35</f>
        <v>0</v>
      </c>
      <c r="F36" s="20">
        <f>'Summary of Consolidated Fins'!G35</f>
        <v>0</v>
      </c>
      <c r="G36" s="29">
        <f>'Summary of Consolidated Fins'!H35</f>
        <v>0</v>
      </c>
      <c r="H36" s="255">
        <f>'Summary of Consolidated Fins'!I35</f>
        <v>0</v>
      </c>
      <c r="I36" s="57">
        <f>'Summary of Consolidated Fins'!J35</f>
        <v>0</v>
      </c>
      <c r="J36" s="57">
        <f>'Summary of Consolidated Fins'!K35</f>
        <v>0</v>
      </c>
      <c r="K36" s="57">
        <f>'Summary of Consolidated Fins'!L35</f>
        <v>0</v>
      </c>
      <c r="L36" s="57">
        <f>'Summary of Consolidated Fins'!M35</f>
        <v>0</v>
      </c>
      <c r="M36" s="82">
        <f>'Summary of Consolidated Fins'!N35</f>
        <v>0</v>
      </c>
    </row>
    <row r="38" spans="5:12" ht="12.75">
      <c r="E38" s="74"/>
      <c r="F38" s="74"/>
      <c r="G38" s="74"/>
      <c r="H38" s="74"/>
      <c r="I38" s="74"/>
      <c r="J38" s="74"/>
      <c r="K38" s="74"/>
      <c r="L38" s="74"/>
    </row>
  </sheetData>
  <sheetProtection/>
  <printOptions/>
  <pageMargins left="0.5" right="0.5" top="0.5" bottom="0.5" header="0.5" footer="0.5"/>
  <pageSetup horizontalDpi="600" verticalDpi="600" orientation="landscape" scale="90" r:id="rId1"/>
  <headerFooter alignWithMargins="0">
    <oddFooter>&amp;R&amp;"Times New Roman,Regular"&amp;8Page &amp;P &amp;D / &amp;T</oddFooter>
  </headerFooter>
</worksheet>
</file>

<file path=xl/worksheets/sheet22.xml><?xml version="1.0" encoding="utf-8"?>
<worksheet xmlns="http://schemas.openxmlformats.org/spreadsheetml/2006/main" xmlns:r="http://schemas.openxmlformats.org/officeDocument/2006/relationships">
  <dimension ref="B1:K38"/>
  <sheetViews>
    <sheetView showGridLines="0" zoomScalePageLayoutView="0" workbookViewId="0" topLeftCell="A1">
      <selection activeCell="A1" sqref="A1"/>
    </sheetView>
  </sheetViews>
  <sheetFormatPr defaultColWidth="10.7109375" defaultRowHeight="12.75"/>
  <cols>
    <col min="1" max="16384" width="10.7109375" style="1" customWidth="1"/>
  </cols>
  <sheetData>
    <row r="1" spans="2:11" ht="15.75">
      <c r="B1" s="181" t="s">
        <v>320</v>
      </c>
      <c r="C1" s="177"/>
      <c r="D1" s="177"/>
      <c r="E1" s="177"/>
      <c r="F1" s="177"/>
      <c r="G1" s="177"/>
      <c r="H1" s="177"/>
      <c r="I1" s="177"/>
      <c r="J1" s="177"/>
      <c r="K1" s="177"/>
    </row>
    <row r="2" s="133" customFormat="1" ht="15.75">
      <c r="B2" s="182"/>
    </row>
    <row r="3" ht="13.5">
      <c r="B3" s="2" t="s">
        <v>171</v>
      </c>
    </row>
    <row r="4" ht="12.75">
      <c r="B4" s="5" t="str">
        <f>'Summary of Consolidated Fins'!B3</f>
        <v>($ in millions)</v>
      </c>
    </row>
    <row r="5" ht="12.75">
      <c r="B5" s="5"/>
    </row>
    <row r="6" ht="13.5">
      <c r="B6" s="2" t="str">
        <f>'Case Manager'!$D$65</f>
        <v>Base Case</v>
      </c>
    </row>
    <row r="7" spans="2:11" ht="14.25" thickBot="1">
      <c r="B7" s="3"/>
      <c r="C7" s="4"/>
      <c r="D7" s="4"/>
      <c r="E7" s="4"/>
      <c r="F7" s="4"/>
      <c r="G7" s="4"/>
      <c r="H7" s="4"/>
      <c r="I7" s="4"/>
      <c r="J7" s="4"/>
      <c r="K7" s="4"/>
    </row>
    <row r="8" spans="2:11" ht="13.5">
      <c r="B8" s="5"/>
      <c r="E8" s="298" t="str">
        <f>'LBO Model'!K23</f>
        <v>Actual</v>
      </c>
      <c r="F8" s="12" t="str">
        <f>'LBO Model'!L23</f>
        <v>Projected</v>
      </c>
      <c r="G8" s="13"/>
      <c r="H8" s="14"/>
      <c r="I8" s="12"/>
      <c r="J8" s="12"/>
      <c r="K8" s="12" t="str">
        <f>'LBO Model'!Q23</f>
        <v>CAGR</v>
      </c>
    </row>
    <row r="9" spans="2:11" ht="12.75">
      <c r="B9" s="7"/>
      <c r="C9" s="7"/>
      <c r="D9" s="7"/>
      <c r="E9" s="347">
        <f>'LBO Model'!K24</f>
        <v>2005</v>
      </c>
      <c r="F9" s="15">
        <f>'LBO Model'!L24</f>
        <v>2006</v>
      </c>
      <c r="G9" s="15">
        <f>'LBO Model'!M24</f>
        <v>2007</v>
      </c>
      <c r="H9" s="32">
        <f>'LBO Model'!N24</f>
        <v>2008</v>
      </c>
      <c r="I9" s="15">
        <f>'LBO Model'!O24</f>
        <v>2009</v>
      </c>
      <c r="J9" s="15">
        <f>'LBO Model'!P24</f>
        <v>2010</v>
      </c>
      <c r="K9" s="15" t="str">
        <f>'LBO Model'!Q24</f>
        <v>'05-'10</v>
      </c>
    </row>
    <row r="10" spans="2:11" ht="12.75">
      <c r="B10" s="1" t="str">
        <f>'LBO Model'!H28</f>
        <v>Consolidated EBITDA</v>
      </c>
      <c r="E10" s="140">
        <f>'LBO Model'!K28</f>
        <v>780</v>
      </c>
      <c r="F10" s="140">
        <f>'LBO Model'!L28</f>
        <v>799.3877250603452</v>
      </c>
      <c r="G10" s="140">
        <f>'LBO Model'!M28</f>
        <v>799.3877250603452</v>
      </c>
      <c r="H10" s="140">
        <f>'LBO Model'!N28</f>
        <v>799.3877250603452</v>
      </c>
      <c r="I10" s="140">
        <f>'LBO Model'!O28</f>
        <v>799.3877250603452</v>
      </c>
      <c r="J10" s="140">
        <f>'LBO Model'!P28</f>
        <v>799.3877250603452</v>
      </c>
      <c r="K10" s="9">
        <f>'LBO Model'!Q28</f>
        <v>0.004922510197188146</v>
      </c>
    </row>
    <row r="11" spans="2:11" ht="12.75">
      <c r="B11" s="1" t="str">
        <f>'LBO Model'!H29</f>
        <v>   Growth</v>
      </c>
      <c r="E11" s="9">
        <f>'LBO Model'!K29</f>
        <v>0.20370370370370372</v>
      </c>
      <c r="F11" s="9">
        <f>'LBO Model'!L29</f>
        <v>0.02485605776967348</v>
      </c>
      <c r="G11" s="9">
        <f>'LBO Model'!M29</f>
        <v>0</v>
      </c>
      <c r="H11" s="9">
        <f>'LBO Model'!N29</f>
        <v>0</v>
      </c>
      <c r="I11" s="9">
        <f>'LBO Model'!O29</f>
        <v>0</v>
      </c>
      <c r="J11" s="9">
        <f>'LBO Model'!P29</f>
        <v>0</v>
      </c>
      <c r="K11" s="9"/>
    </row>
    <row r="12" spans="2:11" ht="12.75">
      <c r="B12" s="1" t="str">
        <f>'LBO Model'!H30</f>
        <v>   Margin</v>
      </c>
      <c r="E12" s="9">
        <f>'LBO Model'!K30</f>
        <v>0.07027027027027027</v>
      </c>
      <c r="F12" s="9">
        <f>'LBO Model'!L30</f>
        <v>0.07231577885048199</v>
      </c>
      <c r="G12" s="9">
        <f>'LBO Model'!M30</f>
        <v>0.07231577885048199</v>
      </c>
      <c r="H12" s="9">
        <f>'LBO Model'!N30</f>
        <v>0.07231577885048199</v>
      </c>
      <c r="I12" s="9">
        <f>'LBO Model'!O30</f>
        <v>0.07231577885048199</v>
      </c>
      <c r="J12" s="9">
        <f>'LBO Model'!P30</f>
        <v>0.07231577885048199</v>
      </c>
      <c r="K12" s="9"/>
    </row>
    <row r="14" spans="2:11" ht="12.75">
      <c r="B14" s="1" t="s">
        <v>351</v>
      </c>
      <c r="E14" s="140"/>
      <c r="F14" s="140">
        <f>'LBO Model'!I169</f>
        <v>267.88827668078034</v>
      </c>
      <c r="G14" s="140">
        <f>'LBO Model'!J169</f>
        <v>267.88827668078034</v>
      </c>
      <c r="H14" s="140">
        <f>'LBO Model'!K169</f>
        <v>267.88827668078034</v>
      </c>
      <c r="I14" s="140">
        <f>'LBO Model'!L169</f>
        <v>267.88827668078034</v>
      </c>
      <c r="J14" s="140">
        <f>'LBO Model'!M169</f>
        <v>267.88827668078034</v>
      </c>
      <c r="K14" s="9"/>
    </row>
    <row r="16" spans="2:11" ht="12.75">
      <c r="B16" s="1" t="str">
        <f>'LBO Model'!H32</f>
        <v>Total Interest Expense</v>
      </c>
      <c r="E16" s="140"/>
      <c r="F16" s="140">
        <f>'LBO Model'!L32</f>
        <v>526.9739313072351</v>
      </c>
      <c r="G16" s="140">
        <f>'LBO Model'!M32</f>
        <v>531.0265345976484</v>
      </c>
      <c r="H16" s="140">
        <f>'LBO Model'!N32</f>
        <v>534.895138718538</v>
      </c>
      <c r="I16" s="140">
        <f>'LBO Model'!O32</f>
        <v>538.579348355341</v>
      </c>
      <c r="J16" s="140">
        <f>'LBO Model'!P32</f>
        <v>542.0647951067002</v>
      </c>
      <c r="K16" s="345"/>
    </row>
    <row r="18" spans="2:11" ht="12.75">
      <c r="B18" s="1" t="str">
        <f>'LBO Model'!H34</f>
        <v>Total Debt</v>
      </c>
      <c r="E18" s="11">
        <f>'LBO Model'!K34</f>
        <v>6712</v>
      </c>
      <c r="F18" s="11">
        <f>'LBO Model'!L34</f>
        <v>6667.304834859604</v>
      </c>
      <c r="G18" s="11">
        <f>'LBO Model'!M34</f>
        <v>6620.069421077687</v>
      </c>
      <c r="H18" s="11">
        <f>'LBO Model'!N34</f>
        <v>6570.46761141666</v>
      </c>
      <c r="I18" s="11">
        <f>'LBO Model'!O34</f>
        <v>6518.315011392437</v>
      </c>
      <c r="J18" s="11">
        <f>'LBO Model'!P34</f>
        <v>6463.412858119571</v>
      </c>
      <c r="K18" s="346"/>
    </row>
    <row r="19" spans="2:11" ht="12.75">
      <c r="B19" s="10" t="str">
        <f>'LBO Model'!H35</f>
        <v>Cash and Cash Equivalents</v>
      </c>
      <c r="C19" s="10"/>
      <c r="D19" s="10"/>
      <c r="E19" s="17">
        <f>'LBO Model'!K35</f>
        <v>1247</v>
      </c>
      <c r="F19" s="17">
        <f>'LBO Model'!L35</f>
        <v>1247</v>
      </c>
      <c r="G19" s="17">
        <f>'LBO Model'!M35</f>
        <v>1247</v>
      </c>
      <c r="H19" s="17">
        <f>'LBO Model'!N35</f>
        <v>1247</v>
      </c>
      <c r="I19" s="17">
        <f>'LBO Model'!O35</f>
        <v>1247</v>
      </c>
      <c r="J19" s="17">
        <f>'LBO Model'!P35</f>
        <v>1247</v>
      </c>
      <c r="K19" s="348"/>
    </row>
    <row r="20" spans="2:11" ht="12.75">
      <c r="B20" s="1" t="str">
        <f>'LBO Model'!H36</f>
        <v>Net Debt</v>
      </c>
      <c r="E20" s="11">
        <f>'LBO Model'!K36</f>
        <v>5465</v>
      </c>
      <c r="F20" s="11">
        <f>'LBO Model'!L36</f>
        <v>5420.304834859604</v>
      </c>
      <c r="G20" s="11">
        <f>'LBO Model'!M36</f>
        <v>5373.069421077687</v>
      </c>
      <c r="H20" s="11">
        <f>'LBO Model'!N36</f>
        <v>5323.46761141666</v>
      </c>
      <c r="I20" s="11">
        <f>'LBO Model'!O36</f>
        <v>5271.315011392437</v>
      </c>
      <c r="J20" s="11">
        <f>'LBO Model'!P36</f>
        <v>5216.412858119571</v>
      </c>
      <c r="K20" s="346"/>
    </row>
    <row r="21" spans="2:11" s="8" customFormat="1" ht="12.75">
      <c r="B21" s="1"/>
      <c r="C21" s="1"/>
      <c r="D21" s="1"/>
      <c r="E21" s="1"/>
      <c r="F21" s="1"/>
      <c r="G21" s="1"/>
      <c r="H21" s="1"/>
      <c r="I21" s="1"/>
      <c r="J21" s="1"/>
      <c r="K21" s="1"/>
    </row>
    <row r="22" spans="2:11" s="8" customFormat="1" ht="12.75">
      <c r="B22" s="8" t="str">
        <f>'LBO Model'!H38</f>
        <v>Total Debt / EBITDA</v>
      </c>
      <c r="E22" s="310">
        <f>'LBO Model'!K38</f>
        <v>8.605128205128205</v>
      </c>
      <c r="F22" s="310">
        <f>'LBO Model'!L38</f>
        <v>8.340514403515883</v>
      </c>
      <c r="G22" s="310">
        <f>'LBO Model'!M38</f>
        <v>8.28142491252032</v>
      </c>
      <c r="H22" s="310">
        <f>'LBO Model'!N38</f>
        <v>8.219375161059245</v>
      </c>
      <c r="I22" s="310">
        <f>'LBO Model'!O38</f>
        <v>8.154134479486</v>
      </c>
      <c r="J22" s="310">
        <f>'LBO Model'!P38</f>
        <v>8.085454223895734</v>
      </c>
      <c r="K22" s="310"/>
    </row>
    <row r="23" spans="2:11" ht="12.75">
      <c r="B23" s="1" t="str">
        <f>'LBO Model'!H39</f>
        <v>Net Debt / EBITDA</v>
      </c>
      <c r="E23" s="205">
        <f>'LBO Model'!K39</f>
        <v>7.006410256410256</v>
      </c>
      <c r="F23" s="205">
        <f>'LBO Model'!L39</f>
        <v>6.780570510324547</v>
      </c>
      <c r="G23" s="205">
        <f>'LBO Model'!M39</f>
        <v>6.7214810193289845</v>
      </c>
      <c r="H23" s="205">
        <f>'LBO Model'!N39</f>
        <v>6.659431267867911</v>
      </c>
      <c r="I23" s="205">
        <f>'LBO Model'!O39</f>
        <v>6.5941905862946655</v>
      </c>
      <c r="J23" s="205">
        <f>'LBO Model'!P39</f>
        <v>6.5255103307044</v>
      </c>
      <c r="K23" s="205"/>
    </row>
    <row r="24" spans="2:11" ht="12.75">
      <c r="B24" s="1" t="str">
        <f>'LBO Model'!H40</f>
        <v>EBITDA / Interest Expense</v>
      </c>
      <c r="E24" s="205"/>
      <c r="F24" s="205">
        <f>'LBO Model'!L40</f>
        <v>1.5169397906977073</v>
      </c>
      <c r="G24" s="205">
        <f>'LBO Model'!M40</f>
        <v>1.50536305246221</v>
      </c>
      <c r="H24" s="205">
        <f>'LBO Model'!N40</f>
        <v>1.4944755844584023</v>
      </c>
      <c r="I24" s="205">
        <f>'LBO Model'!O40</f>
        <v>1.4842524643795465</v>
      </c>
      <c r="J24" s="205">
        <f>'LBO Model'!P40</f>
        <v>1.4747088028526063</v>
      </c>
      <c r="K24" s="205"/>
    </row>
    <row r="25" spans="2:11" ht="13.5" thickBot="1">
      <c r="B25" s="4" t="str">
        <f>'LBO Model'!H41</f>
        <v>(EBITDA-Capex) / Interest Expense</v>
      </c>
      <c r="C25" s="4"/>
      <c r="D25" s="4"/>
      <c r="E25" s="329"/>
      <c r="F25" s="329">
        <f>'LBO Model'!L41</f>
        <v>1.008587743725963</v>
      </c>
      <c r="G25" s="329">
        <f>'LBO Model'!M41</f>
        <v>1.0008905652563573</v>
      </c>
      <c r="H25" s="329">
        <f>'LBO Model'!N41</f>
        <v>0.9936516709665596</v>
      </c>
      <c r="I25" s="329">
        <f>'LBO Model'!O41</f>
        <v>0.9868544904341467</v>
      </c>
      <c r="J25" s="329">
        <f>'LBO Model'!P41</f>
        <v>0.9805090704607452</v>
      </c>
      <c r="K25" s="329"/>
    </row>
    <row r="28" ht="13.5">
      <c r="B28" s="2" t="s">
        <v>352</v>
      </c>
    </row>
    <row r="30" spans="2:10" ht="12.75">
      <c r="B30" s="313" t="s">
        <v>11</v>
      </c>
      <c r="C30" s="76"/>
      <c r="D30" s="33"/>
      <c r="E30" s="76"/>
      <c r="F30" s="33"/>
      <c r="G30" s="76"/>
      <c r="H30" s="33" t="s">
        <v>279</v>
      </c>
      <c r="I30" s="33"/>
      <c r="J30" s="76"/>
    </row>
    <row r="31" spans="2:10" ht="13.5" thickBot="1">
      <c r="B31" s="273" t="s">
        <v>123</v>
      </c>
      <c r="C31" s="77"/>
      <c r="D31" s="273" t="s">
        <v>279</v>
      </c>
      <c r="E31" s="273"/>
      <c r="F31" s="273" t="s">
        <v>299</v>
      </c>
      <c r="G31" s="77"/>
      <c r="H31" s="273" t="s">
        <v>300</v>
      </c>
      <c r="I31" s="273"/>
      <c r="J31" s="273" t="s">
        <v>299</v>
      </c>
    </row>
    <row r="32" spans="2:10" ht="12.75">
      <c r="B32" s="311">
        <f>'LBO Model'!I46</f>
        <v>7</v>
      </c>
      <c r="D32" s="78" t="e">
        <f>'LBO Model'!K46</f>
        <v>#NUM!</v>
      </c>
      <c r="F32" s="140">
        <f>'LBO Model'!M46</f>
        <v>-1300</v>
      </c>
      <c r="H32" s="78" t="e">
        <f>'LBO Model'!O46</f>
        <v>#NUM!</v>
      </c>
      <c r="J32" s="140">
        <f>'LBO Model'!Q46</f>
        <v>-1219</v>
      </c>
    </row>
    <row r="33" spans="2:10" ht="12.75">
      <c r="B33" s="311">
        <f>'LBO Model'!I47</f>
        <v>7.5</v>
      </c>
      <c r="D33" s="78">
        <f>'LBO Model'!K47</f>
        <v>-0.2649267165478868</v>
      </c>
      <c r="F33" s="141">
        <f>'LBO Model'!M47</f>
        <v>-1021.0049201669817</v>
      </c>
      <c r="H33" s="78">
        <f>'LBO Model'!O47</f>
        <v>-0.2554076537197727</v>
      </c>
      <c r="J33" s="141">
        <f>'LBO Model'!Q47</f>
        <v>-940.0049201669817</v>
      </c>
    </row>
    <row r="34" spans="2:10" ht="12.75">
      <c r="B34" s="316">
        <f>'LBO Model'!I48</f>
        <v>8</v>
      </c>
      <c r="C34" s="36"/>
      <c r="D34" s="317">
        <f>'LBO Model'!K48</f>
        <v>-0.12189695284185986</v>
      </c>
      <c r="E34" s="36"/>
      <c r="F34" s="318">
        <f>'LBO Model'!M48</f>
        <v>-621.311057636809</v>
      </c>
      <c r="G34" s="36"/>
      <c r="H34" s="317">
        <f>'LBO Model'!O48</f>
        <v>-0.11052568107901062</v>
      </c>
      <c r="I34" s="36"/>
      <c r="J34" s="319">
        <f>'LBO Model'!Q48</f>
        <v>-540.311057636809</v>
      </c>
    </row>
    <row r="35" spans="2:10" ht="12.75">
      <c r="B35" s="311">
        <f>'LBO Model'!I49</f>
        <v>8.5</v>
      </c>
      <c r="D35" s="78">
        <f>'LBO Model'!K49</f>
        <v>-0.03669032886956913</v>
      </c>
      <c r="F35" s="141">
        <f>'LBO Model'!M49</f>
        <v>-221.61719510663625</v>
      </c>
      <c r="H35" s="78">
        <f>'LBO Model'!O49</f>
        <v>-0.024215647113432825</v>
      </c>
      <c r="J35" s="141">
        <f>'LBO Model'!Q49</f>
        <v>-140.61719510663625</v>
      </c>
    </row>
    <row r="36" spans="2:10" ht="12.75">
      <c r="B36" s="311">
        <f>'LBO Model'!I50</f>
        <v>9</v>
      </c>
      <c r="D36" s="78">
        <f>'LBO Model'!K50</f>
        <v>0.02352369854222114</v>
      </c>
      <c r="F36" s="141">
        <f>'LBO Model'!M50</f>
        <v>160.2690006811829</v>
      </c>
      <c r="H36" s="78">
        <f>'LBO Model'!O50</f>
        <v>0.03677814079873798</v>
      </c>
      <c r="J36" s="141">
        <f>'LBO Model'!Q50</f>
        <v>241.2690006811829</v>
      </c>
    </row>
    <row r="37" spans="2:10" ht="12.75">
      <c r="B37" s="311">
        <f>'LBO Model'!I51</f>
        <v>9.5</v>
      </c>
      <c r="D37" s="78">
        <f>'LBO Model'!K51</f>
        <v>0.06960960900825075</v>
      </c>
      <c r="F37" s="141">
        <f>'LBO Model'!M51</f>
        <v>519.9934769583383</v>
      </c>
      <c r="H37" s="78">
        <f>'LBO Model'!O51</f>
        <v>0.08346085526506752</v>
      </c>
      <c r="J37" s="141">
        <f>'LBO Model'!Q51</f>
        <v>600.9934769583383</v>
      </c>
    </row>
    <row r="38" spans="2:10" ht="12.75">
      <c r="B38" s="312">
        <f>'LBO Model'!I52</f>
        <v>10</v>
      </c>
      <c r="C38" s="7"/>
      <c r="D38" s="315">
        <f>'LBO Model'!K52</f>
        <v>0.10889746280162971</v>
      </c>
      <c r="E38" s="7"/>
      <c r="F38" s="314">
        <f>'LBO Model'!M52</f>
        <v>879.717953235494</v>
      </c>
      <c r="G38" s="7"/>
      <c r="H38" s="315">
        <f>'LBO Model'!O52</f>
        <v>0.12325747948008892</v>
      </c>
      <c r="I38" s="7"/>
      <c r="J38" s="314">
        <f>'LBO Model'!Q52</f>
        <v>960.717953235494</v>
      </c>
    </row>
  </sheetData>
  <sheetProtection/>
  <printOptions/>
  <pageMargins left="0.5" right="0.5" top="0.5" bottom="0.5" header="0.5" footer="0.5"/>
  <pageSetup horizontalDpi="600" verticalDpi="600" orientation="landscape" scale="90" r:id="rId1"/>
  <headerFooter alignWithMargins="0">
    <oddFooter>&amp;R&amp;"Times New Roman,Regular"&amp;8Page &amp;P &amp;D / &amp;T</oddFooter>
  </headerFooter>
</worksheet>
</file>

<file path=xl/worksheets/sheet3.xml><?xml version="1.0" encoding="utf-8"?>
<worksheet xmlns="http://schemas.openxmlformats.org/spreadsheetml/2006/main" xmlns:r="http://schemas.openxmlformats.org/officeDocument/2006/relationships">
  <sheetPr>
    <tabColor indexed="54"/>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2:IU76"/>
  <sheetViews>
    <sheetView showGridLines="0" view="pageBreakPreview" zoomScale="60" zoomScalePageLayoutView="0" workbookViewId="0" topLeftCell="A1">
      <selection activeCell="A1" sqref="A1"/>
    </sheetView>
  </sheetViews>
  <sheetFormatPr defaultColWidth="9.140625" defaultRowHeight="12.75"/>
  <cols>
    <col min="1" max="6" width="9.140625" style="1" customWidth="1"/>
    <col min="7" max="7" width="9.421875" style="1" bestFit="1" customWidth="1"/>
    <col min="8" max="8" width="9.57421875" style="1" bestFit="1" customWidth="1"/>
    <col min="9" max="9" width="9.57421875" style="1" customWidth="1"/>
    <col min="10" max="10" width="9.140625" style="1" customWidth="1"/>
    <col min="11" max="11" width="9.28125" style="1" bestFit="1" customWidth="1"/>
    <col min="12" max="16384" width="9.140625" style="1" customWidth="1"/>
  </cols>
  <sheetData>
    <row r="2" spans="2:13" ht="13.5">
      <c r="B2" s="2" t="s">
        <v>167</v>
      </c>
      <c r="M2" s="2"/>
    </row>
    <row r="3" spans="2:13" ht="13.5">
      <c r="B3" s="2"/>
      <c r="M3" s="2"/>
    </row>
    <row r="4" spans="2:12" ht="14.25" thickBot="1">
      <c r="B4" s="3" t="s">
        <v>221</v>
      </c>
      <c r="C4" s="4"/>
      <c r="D4" s="4"/>
      <c r="E4" s="4"/>
      <c r="F4" s="4"/>
      <c r="G4" s="4"/>
      <c r="H4" s="4"/>
      <c r="I4" s="4"/>
      <c r="J4" s="4"/>
      <c r="K4" s="4"/>
      <c r="L4" s="4"/>
    </row>
    <row r="5" spans="2:15" ht="12.75">
      <c r="B5" s="1" t="s">
        <v>21</v>
      </c>
      <c r="K5" s="42" t="s">
        <v>0</v>
      </c>
      <c r="O5" s="133"/>
    </row>
    <row r="6" spans="2:11" ht="12.75">
      <c r="B6" s="1" t="s">
        <v>22</v>
      </c>
      <c r="K6" s="42" t="s">
        <v>7</v>
      </c>
    </row>
    <row r="7" spans="2:11" ht="12.75">
      <c r="B7" s="1" t="s">
        <v>126</v>
      </c>
      <c r="K7" s="154">
        <v>2003</v>
      </c>
    </row>
    <row r="9" spans="2:11" ht="12.75">
      <c r="B9" s="240" t="s">
        <v>228</v>
      </c>
      <c r="K9" s="84"/>
    </row>
    <row r="10" spans="2:11" ht="12.75">
      <c r="B10" s="1" t="s">
        <v>222</v>
      </c>
      <c r="K10" s="237">
        <v>0.0275</v>
      </c>
    </row>
    <row r="11" spans="2:11" ht="12.75">
      <c r="B11" s="1" t="s">
        <v>223</v>
      </c>
      <c r="K11" s="237">
        <v>0.005</v>
      </c>
    </row>
    <row r="12" spans="2:11" ht="12.75">
      <c r="B12" s="1" t="s">
        <v>224</v>
      </c>
      <c r="K12" s="237">
        <v>0.06</v>
      </c>
    </row>
    <row r="13" spans="2:11" ht="12.75">
      <c r="B13" s="1" t="s">
        <v>225</v>
      </c>
      <c r="K13" s="237">
        <v>0.0275</v>
      </c>
    </row>
    <row r="14" spans="2:11" ht="12.75">
      <c r="B14" s="1" t="s">
        <v>226</v>
      </c>
      <c r="K14" s="237">
        <v>0.005</v>
      </c>
    </row>
    <row r="15" spans="2:11" ht="12.75">
      <c r="B15" s="1" t="s">
        <v>227</v>
      </c>
      <c r="K15" s="237">
        <v>0.0625</v>
      </c>
    </row>
    <row r="16" ht="12.75">
      <c r="K16" s="237"/>
    </row>
    <row r="17" spans="2:11" ht="12.75">
      <c r="B17" s="225" t="s">
        <v>243</v>
      </c>
      <c r="K17" s="237"/>
    </row>
    <row r="18" spans="2:11" ht="12.75">
      <c r="B18" s="1" t="s">
        <v>244</v>
      </c>
      <c r="K18" s="237"/>
    </row>
    <row r="19" spans="2:11" ht="12.75">
      <c r="B19" s="1" t="s">
        <v>241</v>
      </c>
      <c r="K19" s="202">
        <v>0</v>
      </c>
    </row>
    <row r="20" spans="2:11" ht="12.75">
      <c r="B20" s="1" t="s">
        <v>242</v>
      </c>
      <c r="K20" s="202">
        <v>0</v>
      </c>
    </row>
    <row r="21" ht="12.75">
      <c r="K21" s="202"/>
    </row>
    <row r="22" spans="2:11" ht="12.75">
      <c r="B22" s="225" t="s">
        <v>245</v>
      </c>
      <c r="K22" s="202"/>
    </row>
    <row r="23" spans="2:11" ht="12.75">
      <c r="B23" s="1" t="s">
        <v>49</v>
      </c>
      <c r="K23" s="84">
        <v>0.35</v>
      </c>
    </row>
    <row r="24" spans="2:12" ht="13.5" thickBot="1">
      <c r="B24" s="4" t="s">
        <v>211</v>
      </c>
      <c r="C24" s="4"/>
      <c r="D24" s="4"/>
      <c r="E24" s="4"/>
      <c r="F24" s="4"/>
      <c r="G24" s="4"/>
      <c r="H24" s="4"/>
      <c r="I24" s="4"/>
      <c r="J24" s="4"/>
      <c r="K24" s="233">
        <v>0</v>
      </c>
      <c r="L24" s="233"/>
    </row>
    <row r="26" spans="2:12" ht="14.25" thickBot="1">
      <c r="B26" s="3" t="s">
        <v>212</v>
      </c>
      <c r="C26" s="4"/>
      <c r="D26" s="4"/>
      <c r="E26" s="4"/>
      <c r="F26" s="4"/>
      <c r="G26" s="4"/>
      <c r="H26" s="4"/>
      <c r="I26" s="4"/>
      <c r="J26" s="4"/>
      <c r="K26" s="4"/>
      <c r="L26" s="4"/>
    </row>
    <row r="27" ht="12.75">
      <c r="B27" s="1" t="s">
        <v>234</v>
      </c>
    </row>
    <row r="28" ht="12.75">
      <c r="B28" s="1" t="s">
        <v>298</v>
      </c>
    </row>
    <row r="29" ht="12.75">
      <c r="B29" s="1" t="s">
        <v>288</v>
      </c>
    </row>
    <row r="30" ht="12.75">
      <c r="B30" s="1" t="s">
        <v>287</v>
      </c>
    </row>
    <row r="31" ht="12.75">
      <c r="B31" s="1" t="s">
        <v>286</v>
      </c>
    </row>
    <row r="32" ht="12.75">
      <c r="B32" s="1" t="s">
        <v>285</v>
      </c>
    </row>
    <row r="33" ht="12.75">
      <c r="B33" s="1" t="s">
        <v>309</v>
      </c>
    </row>
    <row r="34" ht="12.75">
      <c r="B34" s="1" t="s">
        <v>289</v>
      </c>
    </row>
    <row r="35" ht="12.75">
      <c r="B35" s="1" t="s">
        <v>235</v>
      </c>
    </row>
    <row r="36" ht="12.75">
      <c r="B36" s="1" t="s">
        <v>246</v>
      </c>
    </row>
    <row r="37" spans="2:12" ht="12.75">
      <c r="B37" s="8" t="s">
        <v>247</v>
      </c>
      <c r="C37" s="8"/>
      <c r="D37" s="8"/>
      <c r="E37" s="8"/>
      <c r="F37" s="8"/>
      <c r="G37" s="8"/>
      <c r="H37" s="8"/>
      <c r="I37" s="8"/>
      <c r="J37" s="8"/>
      <c r="K37" s="8"/>
      <c r="L37" s="8"/>
    </row>
    <row r="38" spans="2:12" ht="13.5" thickBot="1">
      <c r="B38" s="4" t="s">
        <v>248</v>
      </c>
      <c r="C38" s="4"/>
      <c r="D38" s="4"/>
      <c r="E38" s="4"/>
      <c r="F38" s="4"/>
      <c r="G38" s="4"/>
      <c r="H38" s="4"/>
      <c r="I38" s="4"/>
      <c r="J38" s="4"/>
      <c r="K38" s="4"/>
      <c r="L38" s="4"/>
    </row>
    <row r="39" spans="2:11" ht="12.75">
      <c r="B39" s="8"/>
      <c r="C39" s="8"/>
      <c r="D39" s="8"/>
      <c r="E39" s="8"/>
      <c r="F39" s="8"/>
      <c r="G39" s="8"/>
      <c r="H39" s="8"/>
      <c r="I39" s="8"/>
      <c r="J39" s="8"/>
      <c r="K39" s="8"/>
    </row>
    <row r="40" ht="13.5">
      <c r="B40" s="2" t="s">
        <v>180</v>
      </c>
    </row>
    <row r="41" spans="2:12" ht="13.5" thickBot="1">
      <c r="B41" s="4"/>
      <c r="C41" s="4"/>
      <c r="D41" s="4"/>
      <c r="E41" s="4"/>
      <c r="F41" s="4"/>
      <c r="G41" s="4"/>
      <c r="H41" s="4"/>
      <c r="I41" s="4"/>
      <c r="J41" s="4"/>
      <c r="K41" s="4"/>
      <c r="L41" s="4"/>
    </row>
    <row r="42" spans="2:11" ht="12.75">
      <c r="B42" s="1" t="s">
        <v>181</v>
      </c>
      <c r="K42" s="193">
        <v>26.75</v>
      </c>
    </row>
    <row r="43" spans="2:11" ht="12.75">
      <c r="B43" s="1" t="s">
        <v>189</v>
      </c>
      <c r="K43" s="202">
        <v>2312</v>
      </c>
    </row>
    <row r="44" spans="2:11" ht="12.75">
      <c r="B44" s="1" t="s">
        <v>190</v>
      </c>
      <c r="K44" s="141">
        <f>'Current Balance Sheet'!H7+'Current Balance Sheet'!H8-'Sources &amp; Uses'!F7</f>
        <v>1247</v>
      </c>
    </row>
    <row r="45" ht="12.75">
      <c r="K45" s="141"/>
    </row>
    <row r="46" spans="2:11" ht="12.75">
      <c r="B46" s="1" t="s">
        <v>297</v>
      </c>
      <c r="K46" s="302">
        <v>0</v>
      </c>
    </row>
    <row r="47" spans="2:11" ht="12.75">
      <c r="B47" s="1" t="s">
        <v>290</v>
      </c>
      <c r="K47" s="84">
        <v>0.1</v>
      </c>
    </row>
    <row r="48" ht="12.75">
      <c r="K48" s="141"/>
    </row>
    <row r="49" spans="2:11" ht="12.75">
      <c r="B49" s="240" t="s">
        <v>229</v>
      </c>
      <c r="G49" s="225" t="s">
        <v>220</v>
      </c>
      <c r="I49" s="225" t="s">
        <v>230</v>
      </c>
      <c r="K49" s="141"/>
    </row>
    <row r="50" spans="2:11" ht="12.75">
      <c r="B50" s="1" t="str">
        <f>'Case Manager'!B43</f>
        <v>Debt Assumed by Consortium</v>
      </c>
      <c r="G50" s="236"/>
      <c r="H50" s="241"/>
      <c r="I50" s="236">
        <v>0.075</v>
      </c>
      <c r="K50" s="141"/>
    </row>
    <row r="51" spans="2:11" ht="12.75">
      <c r="B51" s="1" t="str">
        <f>'Sources &amp; Uses'!B8</f>
        <v>Senior Secured Credit Facility</v>
      </c>
      <c r="G51" s="236">
        <v>0.035</v>
      </c>
      <c r="H51" s="241"/>
      <c r="I51" s="241"/>
      <c r="K51" s="141"/>
    </row>
    <row r="52" spans="2:11" ht="12.75">
      <c r="B52" s="1" t="str">
        <f>'Sources &amp; Uses'!B9</f>
        <v>Unsecured Bridge Loan</v>
      </c>
      <c r="G52" s="236"/>
      <c r="H52" s="241"/>
      <c r="I52" s="241">
        <v>0.1</v>
      </c>
      <c r="K52" s="141"/>
    </row>
    <row r="53" spans="2:11" ht="12.75">
      <c r="B53" s="1" t="str">
        <f>'Sources &amp; Uses'!B10</f>
        <v>Secured European Bridge Loan</v>
      </c>
      <c r="G53" s="236"/>
      <c r="H53" s="241"/>
      <c r="I53" s="241">
        <v>0.08</v>
      </c>
      <c r="K53" s="141"/>
    </row>
    <row r="54" spans="2:9" ht="12.75">
      <c r="B54" s="1" t="str">
        <f>'Sources &amp; Uses'!B11</f>
        <v>Mortgage Loan Agreements</v>
      </c>
      <c r="G54" s="236">
        <v>0.015</v>
      </c>
      <c r="H54" s="241"/>
      <c r="I54" s="241"/>
    </row>
    <row r="55" spans="2:12" ht="13.5" thickBot="1">
      <c r="B55" s="349"/>
      <c r="C55" s="4"/>
      <c r="D55" s="4"/>
      <c r="E55" s="4"/>
      <c r="F55" s="4"/>
      <c r="G55" s="4"/>
      <c r="H55" s="4"/>
      <c r="I55" s="4"/>
      <c r="J55" s="4"/>
      <c r="K55" s="4"/>
      <c r="L55" s="4"/>
    </row>
    <row r="56" ht="12.75">
      <c r="B56" s="30" t="s">
        <v>353</v>
      </c>
    </row>
    <row r="57" ht="12.75">
      <c r="B57" s="30"/>
    </row>
    <row r="58" spans="2:7" ht="14.25" thickBot="1">
      <c r="B58" s="3" t="s">
        <v>23</v>
      </c>
      <c r="C58" s="4"/>
      <c r="D58" s="4"/>
      <c r="E58" s="4"/>
      <c r="F58" s="4"/>
      <c r="G58" s="4"/>
    </row>
    <row r="59" spans="2:7" ht="12.75">
      <c r="B59" s="71" t="s">
        <v>24</v>
      </c>
      <c r="G59" s="62">
        <v>1</v>
      </c>
    </row>
    <row r="60" spans="2:7" ht="12.75">
      <c r="B60" s="71" t="s">
        <v>25</v>
      </c>
      <c r="G60" s="63">
        <f>G59+1</f>
        <v>2</v>
      </c>
    </row>
    <row r="61" spans="2:7" ht="12.75">
      <c r="B61" s="71" t="s">
        <v>26</v>
      </c>
      <c r="G61" s="63">
        <f>G60+1</f>
        <v>3</v>
      </c>
    </row>
    <row r="62" spans="2:7" ht="12.75">
      <c r="B62" s="71" t="s">
        <v>27</v>
      </c>
      <c r="G62" s="63">
        <f>G61+1</f>
        <v>4</v>
      </c>
    </row>
    <row r="63" spans="2:7" ht="12.75">
      <c r="B63" s="72" t="s">
        <v>28</v>
      </c>
      <c r="C63" s="7"/>
      <c r="D63" s="7"/>
      <c r="E63" s="7"/>
      <c r="F63" s="7"/>
      <c r="G63" s="64">
        <f>G62+1</f>
        <v>5</v>
      </c>
    </row>
    <row r="64" spans="2:7" ht="12.75">
      <c r="B64" s="43"/>
      <c r="C64" s="8"/>
      <c r="D64" s="8"/>
      <c r="E64" s="8"/>
      <c r="F64" s="8"/>
      <c r="G64" s="44"/>
    </row>
    <row r="65" spans="2:9" ht="13.5">
      <c r="B65" s="39" t="s">
        <v>29</v>
      </c>
      <c r="C65" s="36"/>
      <c r="D65" s="37" t="str">
        <f>CHOOSE(G65,B59,B60,B61,B62,B63)</f>
        <v>Base Case</v>
      </c>
      <c r="E65" s="36"/>
      <c r="F65" s="36"/>
      <c r="G65" s="40">
        <v>1</v>
      </c>
      <c r="H65" s="30" t="s">
        <v>30</v>
      </c>
      <c r="I65" s="30"/>
    </row>
    <row r="66" spans="2:9" s="8" customFormat="1" ht="13.5">
      <c r="B66" s="45"/>
      <c r="C66" s="46"/>
      <c r="D66" s="47"/>
      <c r="E66" s="46"/>
      <c r="F66" s="46"/>
      <c r="G66" s="49"/>
      <c r="H66" s="48"/>
      <c r="I66" s="48"/>
    </row>
    <row r="67" spans="2:255" s="8" customFormat="1" ht="12.75">
      <c r="B67" s="39" t="s">
        <v>165</v>
      </c>
      <c r="C67" s="36"/>
      <c r="D67" s="36"/>
      <c r="E67" s="36"/>
      <c r="F67" s="36"/>
      <c r="G67" s="206">
        <f>K44</f>
        <v>1247</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row>
    <row r="68" spans="2:255" s="8" customFormat="1" ht="12.75">
      <c r="B68" s="137"/>
      <c r="G68" s="350"/>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row>
    <row r="69" spans="2:255" s="8" customFormat="1" ht="12.75">
      <c r="B69" s="39" t="s">
        <v>360</v>
      </c>
      <c r="C69" s="36"/>
      <c r="D69" s="36"/>
      <c r="E69" s="36"/>
      <c r="F69" s="36"/>
      <c r="G69" s="351">
        <v>500</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row>
    <row r="70" spans="2:7" ht="13.5" thickBot="1">
      <c r="B70" s="38"/>
      <c r="C70" s="4"/>
      <c r="D70" s="4"/>
      <c r="E70" s="4"/>
      <c r="F70" s="4"/>
      <c r="G70" s="41"/>
    </row>
    <row r="71" ht="12.75">
      <c r="B71" s="185" t="s">
        <v>355</v>
      </c>
    </row>
    <row r="72" ht="12.75">
      <c r="B72" s="1" t="s">
        <v>362</v>
      </c>
    </row>
    <row r="73" ht="12.75">
      <c r="B73" s="185" t="s">
        <v>361</v>
      </c>
    </row>
    <row r="76" spans="8:9" ht="12.75">
      <c r="H76" s="155"/>
      <c r="I76" s="155"/>
    </row>
  </sheetData>
  <sheetProtection/>
  <printOptions/>
  <pageMargins left="0.5" right="0.5" top="0.5" bottom="0.5" header="0.5" footer="0.5"/>
  <pageSetup fitToHeight="1" fitToWidth="1" horizontalDpi="600" verticalDpi="600" orientation="portrait" scale="78" r:id="rId1"/>
  <headerFooter alignWithMargins="0">
    <oddFooter>&amp;R&amp;"Times New Roman,Regular"&amp;8Page &amp;P &amp;D /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M23"/>
  <sheetViews>
    <sheetView showGridLines="0" tabSelected="1" zoomScalePageLayoutView="0" workbookViewId="0" topLeftCell="A1">
      <selection activeCell="A1" sqref="A1"/>
    </sheetView>
  </sheetViews>
  <sheetFormatPr defaultColWidth="9.140625" defaultRowHeight="12.75"/>
  <sheetData>
    <row r="2" spans="2:13" ht="13.5">
      <c r="B2" s="2" t="s">
        <v>135</v>
      </c>
      <c r="C2" s="1"/>
      <c r="D2" s="1"/>
      <c r="E2" s="1"/>
      <c r="F2" s="1"/>
      <c r="G2" s="1"/>
      <c r="H2" s="1"/>
      <c r="I2" s="1"/>
      <c r="J2" s="1"/>
      <c r="K2" s="1"/>
      <c r="L2" s="1"/>
      <c r="M2" s="1"/>
    </row>
    <row r="3" spans="2:13" ht="13.5">
      <c r="B3" s="2"/>
      <c r="C3" s="1"/>
      <c r="D3" s="1"/>
      <c r="E3" s="1"/>
      <c r="F3" s="1"/>
      <c r="G3" s="1"/>
      <c r="H3" s="1"/>
      <c r="I3" s="1"/>
      <c r="J3" s="1"/>
      <c r="K3" s="1"/>
      <c r="L3" s="1"/>
      <c r="M3" s="1"/>
    </row>
    <row r="4" spans="2:13" ht="12.75">
      <c r="B4" s="1" t="s">
        <v>0</v>
      </c>
      <c r="C4" s="1"/>
      <c r="D4" s="1"/>
      <c r="E4" s="1"/>
      <c r="F4" s="1"/>
      <c r="G4" s="1"/>
      <c r="H4" s="1"/>
      <c r="I4" s="1"/>
      <c r="J4" s="1"/>
      <c r="K4" s="1"/>
      <c r="L4" s="1"/>
      <c r="M4" s="1"/>
    </row>
    <row r="5" spans="2:13" ht="12.75">
      <c r="B5" s="1"/>
      <c r="C5" s="1"/>
      <c r="D5" s="1"/>
      <c r="E5" s="1"/>
      <c r="F5" s="1"/>
      <c r="G5" s="1"/>
      <c r="H5" s="1"/>
      <c r="I5" s="1"/>
      <c r="J5" s="1"/>
      <c r="K5" s="1"/>
      <c r="L5" s="1"/>
      <c r="M5" s="1"/>
    </row>
    <row r="6" spans="2:13" ht="13.5" thickBot="1">
      <c r="B6" s="98" t="s">
        <v>136</v>
      </c>
      <c r="C6" s="4"/>
      <c r="D6" s="4"/>
      <c r="E6" s="4"/>
      <c r="F6" s="4"/>
      <c r="G6" s="4"/>
      <c r="H6" s="98" t="s">
        <v>137</v>
      </c>
      <c r="I6" s="4"/>
      <c r="J6" s="4"/>
      <c r="K6" s="4"/>
      <c r="L6" s="4"/>
      <c r="M6" s="4"/>
    </row>
    <row r="7" spans="2:13" ht="12.75">
      <c r="B7" s="1" t="s">
        <v>138</v>
      </c>
      <c r="C7" s="1"/>
      <c r="D7" s="1"/>
      <c r="E7" s="1"/>
      <c r="F7" s="95">
        <v>956</v>
      </c>
      <c r="G7" s="1"/>
      <c r="H7" s="1" t="s">
        <v>139</v>
      </c>
      <c r="I7" s="1"/>
      <c r="J7" s="1"/>
      <c r="K7" s="1"/>
      <c r="L7" s="1"/>
      <c r="M7" s="95">
        <v>5900</v>
      </c>
    </row>
    <row r="8" spans="2:13" ht="12.75">
      <c r="B8" s="1" t="s">
        <v>199</v>
      </c>
      <c r="C8" s="1"/>
      <c r="D8" s="1"/>
      <c r="E8" s="1"/>
      <c r="F8" s="186">
        <v>700</v>
      </c>
      <c r="G8" s="1"/>
      <c r="H8" s="1" t="s">
        <v>140</v>
      </c>
      <c r="I8" s="1"/>
      <c r="J8" s="1"/>
      <c r="K8" s="1"/>
      <c r="L8" s="1"/>
      <c r="M8" s="161">
        <v>227</v>
      </c>
    </row>
    <row r="9" spans="2:13" ht="12.75">
      <c r="B9" s="1" t="s">
        <v>141</v>
      </c>
      <c r="C9" s="1"/>
      <c r="D9" s="1"/>
      <c r="E9" s="1"/>
      <c r="F9" s="186">
        <v>1900</v>
      </c>
      <c r="G9" s="1"/>
      <c r="H9" s="1" t="s">
        <v>142</v>
      </c>
      <c r="I9" s="1"/>
      <c r="J9" s="1"/>
      <c r="K9" s="1"/>
      <c r="L9" s="1"/>
      <c r="M9" s="161">
        <v>114</v>
      </c>
    </row>
    <row r="10" spans="2:13" ht="12.75">
      <c r="B10" s="1" t="s">
        <v>143</v>
      </c>
      <c r="C10" s="1"/>
      <c r="D10" s="1"/>
      <c r="E10" s="1"/>
      <c r="F10" s="186">
        <v>1000</v>
      </c>
      <c r="G10" s="1"/>
      <c r="H10" s="1" t="s">
        <v>144</v>
      </c>
      <c r="I10" s="1"/>
      <c r="J10" s="1"/>
      <c r="K10" s="1"/>
      <c r="L10" s="1"/>
      <c r="M10" s="161">
        <v>17</v>
      </c>
    </row>
    <row r="11" spans="2:13" ht="12.75">
      <c r="B11" s="1" t="s">
        <v>145</v>
      </c>
      <c r="C11" s="1"/>
      <c r="D11" s="1"/>
      <c r="E11" s="1"/>
      <c r="F11" s="161">
        <v>800</v>
      </c>
      <c r="G11" s="1"/>
      <c r="H11" s="1" t="s">
        <v>146</v>
      </c>
      <c r="I11" s="1"/>
      <c r="J11" s="1"/>
      <c r="K11" s="1"/>
      <c r="L11" s="1"/>
      <c r="M11" s="161">
        <v>362</v>
      </c>
    </row>
    <row r="12" spans="2:13" ht="12.75">
      <c r="B12" s="10" t="s">
        <v>147</v>
      </c>
      <c r="C12" s="10"/>
      <c r="D12" s="10"/>
      <c r="E12" s="10"/>
      <c r="F12" s="94">
        <v>1300</v>
      </c>
      <c r="G12" s="10"/>
      <c r="H12" s="8" t="s">
        <v>148</v>
      </c>
      <c r="I12" s="8"/>
      <c r="J12" s="8"/>
      <c r="K12" s="8"/>
      <c r="L12" s="8"/>
      <c r="M12" s="93">
        <v>36</v>
      </c>
    </row>
    <row r="13" spans="2:13" ht="13.5" thickBot="1">
      <c r="B13" s="162" t="s">
        <v>110</v>
      </c>
      <c r="C13" s="162"/>
      <c r="D13" s="162"/>
      <c r="E13" s="162"/>
      <c r="F13" s="163">
        <f>SUM(F7:F12)</f>
        <v>6656</v>
      </c>
      <c r="G13" s="162"/>
      <c r="H13" s="162"/>
      <c r="I13" s="162"/>
      <c r="J13" s="162"/>
      <c r="K13" s="162"/>
      <c r="L13" s="162"/>
      <c r="M13" s="163">
        <f>SUM(M7:M12)</f>
        <v>6656</v>
      </c>
    </row>
    <row r="15" spans="2:13" ht="14.25" thickBot="1">
      <c r="B15" s="183" t="s">
        <v>159</v>
      </c>
      <c r="C15" s="184"/>
      <c r="D15" s="184"/>
      <c r="E15" s="184"/>
      <c r="F15" s="184"/>
      <c r="M15" s="332"/>
    </row>
    <row r="16" spans="2:6" ht="12.75">
      <c r="B16" s="69" t="s">
        <v>160</v>
      </c>
      <c r="F16" s="95">
        <v>78</v>
      </c>
    </row>
    <row r="17" spans="2:6" ht="12.75">
      <c r="B17" s="69" t="s">
        <v>161</v>
      </c>
      <c r="F17" s="161">
        <v>135</v>
      </c>
    </row>
    <row r="18" spans="2:6" ht="12.75">
      <c r="B18" s="69" t="s">
        <v>162</v>
      </c>
      <c r="F18" s="161">
        <v>81</v>
      </c>
    </row>
    <row r="19" spans="2:6" ht="12.75">
      <c r="B19" s="10" t="s">
        <v>163</v>
      </c>
      <c r="C19" s="10"/>
      <c r="D19" s="10"/>
      <c r="E19" s="10"/>
      <c r="F19" s="94">
        <v>68</v>
      </c>
    </row>
    <row r="20" spans="2:6" ht="13.5" thickBot="1">
      <c r="B20" s="162" t="s">
        <v>110</v>
      </c>
      <c r="C20" s="162"/>
      <c r="D20" s="162"/>
      <c r="E20" s="162"/>
      <c r="F20" s="163">
        <f>SUM(F16:F19)</f>
        <v>362</v>
      </c>
    </row>
    <row r="21" spans="2:6" ht="12.75">
      <c r="B21" s="137"/>
      <c r="C21" s="137"/>
      <c r="D21" s="137"/>
      <c r="E21" s="137"/>
      <c r="F21" s="197"/>
    </row>
    <row r="22" ht="12.75">
      <c r="B22" s="18" t="s">
        <v>354</v>
      </c>
    </row>
    <row r="23" ht="12.75">
      <c r="B23" s="18" t="s">
        <v>164</v>
      </c>
    </row>
  </sheetData>
  <sheetProtection/>
  <printOptions/>
  <pageMargins left="0.5" right="0.5" top="0.5" bottom="0.5" header="0.5" footer="0.5"/>
  <pageSetup fitToHeight="1" fitToWidth="1" horizontalDpi="600" verticalDpi="600" orientation="landscape" r:id="rId1"/>
  <headerFooter alignWithMargins="0">
    <oddFooter>&amp;R&amp;"Times New Roman,Regular"&amp;8Page &amp;P &amp;D /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54"/>
  <sheetViews>
    <sheetView showGridLines="0" zoomScalePageLayoutView="0" workbookViewId="0" topLeftCell="A38">
      <selection activeCell="A38" sqref="A38"/>
    </sheetView>
  </sheetViews>
  <sheetFormatPr defaultColWidth="10.7109375" defaultRowHeight="12.75"/>
  <cols>
    <col min="1" max="16384" width="10.7109375" style="1" customWidth="1"/>
  </cols>
  <sheetData>
    <row r="2" spans="1:2" ht="13.5">
      <c r="A2" s="2"/>
      <c r="B2" s="2" t="s">
        <v>50</v>
      </c>
    </row>
    <row r="3" spans="2:8" ht="14.25" thickBot="1">
      <c r="B3" s="3"/>
      <c r="C3" s="4"/>
      <c r="D3" s="4"/>
      <c r="E3" s="4"/>
      <c r="F3" s="4"/>
      <c r="G3" s="4"/>
      <c r="H3" s="4"/>
    </row>
    <row r="4" spans="2:8" ht="13.5">
      <c r="B4" s="5" t="str">
        <f>'Case Manager'!K5</f>
        <v>($ in millions)</v>
      </c>
      <c r="F4" s="86" t="s">
        <v>122</v>
      </c>
      <c r="G4" s="6"/>
      <c r="H4" s="87"/>
    </row>
    <row r="5" spans="2:8" ht="12.75">
      <c r="B5" s="7"/>
      <c r="C5" s="7"/>
      <c r="D5" s="7"/>
      <c r="E5" s="7"/>
      <c r="F5" s="88">
        <v>38017</v>
      </c>
      <c r="G5" s="88"/>
      <c r="H5" s="88">
        <v>38381</v>
      </c>
    </row>
    <row r="6" spans="2:8" ht="12.75">
      <c r="B6" s="89" t="s">
        <v>51</v>
      </c>
      <c r="C6" s="8"/>
      <c r="D6" s="8"/>
      <c r="E6" s="8"/>
      <c r="F6" s="90"/>
      <c r="G6" s="90"/>
      <c r="H6" s="90"/>
    </row>
    <row r="7" spans="2:8" ht="12.75">
      <c r="B7" s="1" t="s">
        <v>52</v>
      </c>
      <c r="F7" s="91">
        <v>1432</v>
      </c>
      <c r="G7" s="92"/>
      <c r="H7" s="91">
        <v>1250</v>
      </c>
    </row>
    <row r="8" spans="2:11" ht="12.75">
      <c r="B8" s="1" t="s">
        <v>53</v>
      </c>
      <c r="F8" s="93">
        <v>571</v>
      </c>
      <c r="G8" s="8"/>
      <c r="H8" s="93">
        <v>953</v>
      </c>
      <c r="K8" s="11"/>
    </row>
    <row r="9" spans="2:8" ht="12.75">
      <c r="B9" s="1" t="s">
        <v>54</v>
      </c>
      <c r="F9" s="93">
        <v>146</v>
      </c>
      <c r="G9" s="8"/>
      <c r="H9" s="93">
        <v>153</v>
      </c>
    </row>
    <row r="10" spans="2:8" ht="12.75">
      <c r="B10" s="1" t="s">
        <v>55</v>
      </c>
      <c r="F10" s="93">
        <v>2094</v>
      </c>
      <c r="G10" s="8"/>
      <c r="H10" s="93">
        <v>1884</v>
      </c>
    </row>
    <row r="11" spans="2:10" ht="12.75">
      <c r="B11" s="1" t="s">
        <v>56</v>
      </c>
      <c r="F11" s="93">
        <v>163</v>
      </c>
      <c r="G11" s="8"/>
      <c r="H11" s="93">
        <v>7</v>
      </c>
      <c r="J11"/>
    </row>
    <row r="12" spans="2:10" ht="12.75">
      <c r="B12" s="1" t="s">
        <v>57</v>
      </c>
      <c r="F12" s="93">
        <v>162</v>
      </c>
      <c r="G12" s="8"/>
      <c r="H12" s="93">
        <v>1</v>
      </c>
      <c r="J12"/>
    </row>
    <row r="13" spans="2:10" ht="12.75">
      <c r="B13" s="10" t="s">
        <v>58</v>
      </c>
      <c r="C13" s="10"/>
      <c r="D13" s="10"/>
      <c r="E13" s="10"/>
      <c r="F13" s="94">
        <v>161</v>
      </c>
      <c r="G13" s="10"/>
      <c r="H13" s="94">
        <v>159</v>
      </c>
      <c r="J13"/>
    </row>
    <row r="14" spans="2:8" ht="12.75">
      <c r="B14" s="1" t="s">
        <v>59</v>
      </c>
      <c r="F14" s="11">
        <f>SUM(F7:F13)</f>
        <v>4729</v>
      </c>
      <c r="H14" s="11">
        <f>SUM(H7:H13)</f>
        <v>4407</v>
      </c>
    </row>
    <row r="15" ht="12.75">
      <c r="B15" s="30"/>
    </row>
    <row r="16" ht="13.5">
      <c r="B16" s="2" t="s">
        <v>60</v>
      </c>
    </row>
    <row r="17" spans="2:8" ht="12.75">
      <c r="B17" s="1" t="s">
        <v>61</v>
      </c>
      <c r="F17" s="95">
        <v>2165</v>
      </c>
      <c r="H17" s="95">
        <v>2393</v>
      </c>
    </row>
    <row r="18" spans="2:8" ht="12.75">
      <c r="B18" s="10" t="s">
        <v>62</v>
      </c>
      <c r="C18" s="10"/>
      <c r="D18" s="10"/>
      <c r="E18" s="10"/>
      <c r="F18" s="94">
        <v>2274</v>
      </c>
      <c r="G18" s="10"/>
      <c r="H18" s="94">
        <v>1946</v>
      </c>
    </row>
    <row r="19" spans="2:8" ht="12.75">
      <c r="B19" s="1" t="s">
        <v>63</v>
      </c>
      <c r="F19" s="11">
        <f>SUM(F17:F18)</f>
        <v>4439</v>
      </c>
      <c r="H19" s="11">
        <f>SUM(H17:H18)</f>
        <v>4339</v>
      </c>
    </row>
    <row r="20" spans="6:8" ht="12.75">
      <c r="F20" s="95"/>
      <c r="H20" s="95"/>
    </row>
    <row r="21" spans="2:8" ht="12.75">
      <c r="B21" s="1" t="s">
        <v>64</v>
      </c>
      <c r="F21" s="93">
        <v>348</v>
      </c>
      <c r="G21" s="8"/>
      <c r="H21" s="93">
        <v>353</v>
      </c>
    </row>
    <row r="22" spans="2:8" ht="12.75">
      <c r="B22" s="1" t="s">
        <v>65</v>
      </c>
      <c r="F22" s="93">
        <v>77</v>
      </c>
      <c r="G22" s="8"/>
      <c r="H22" s="93">
        <v>43</v>
      </c>
    </row>
    <row r="23" spans="2:8" ht="12.75">
      <c r="B23" s="1" t="s">
        <v>66</v>
      </c>
      <c r="F23" s="93">
        <v>399</v>
      </c>
      <c r="G23" s="8"/>
      <c r="H23" s="93">
        <v>426</v>
      </c>
    </row>
    <row r="24" spans="2:8" ht="12.75">
      <c r="B24" s="1" t="s">
        <v>67</v>
      </c>
      <c r="F24" s="93">
        <v>273</v>
      </c>
      <c r="G24" s="8"/>
      <c r="H24" s="93">
        <v>200</v>
      </c>
    </row>
    <row r="26" spans="2:8" ht="12.75">
      <c r="B26" s="96" t="s">
        <v>68</v>
      </c>
      <c r="F26" s="97">
        <f>F14+F19+SUM(F21:F24)</f>
        <v>10265</v>
      </c>
      <c r="G26" s="96"/>
      <c r="H26" s="97">
        <f>H14+H19+SUM(H21:H24)</f>
        <v>9768</v>
      </c>
    </row>
    <row r="28" ht="12.75">
      <c r="B28" s="85" t="s">
        <v>69</v>
      </c>
    </row>
    <row r="29" spans="2:8" ht="12.75">
      <c r="B29" s="1" t="s">
        <v>70</v>
      </c>
      <c r="F29" s="91">
        <v>0</v>
      </c>
      <c r="G29" s="92"/>
      <c r="H29" s="91">
        <v>0</v>
      </c>
    </row>
    <row r="30" spans="2:8" ht="12.75">
      <c r="B30" s="1" t="s">
        <v>71</v>
      </c>
      <c r="F30" s="93">
        <v>1022</v>
      </c>
      <c r="G30" s="8"/>
      <c r="H30" s="93">
        <v>1023</v>
      </c>
    </row>
    <row r="31" spans="2:8" ht="12.75">
      <c r="B31" s="1" t="s">
        <v>72</v>
      </c>
      <c r="F31" s="93">
        <v>866</v>
      </c>
      <c r="G31" s="8"/>
      <c r="H31" s="93">
        <v>881</v>
      </c>
    </row>
    <row r="32" spans="2:8" ht="12.75">
      <c r="B32" s="1" t="s">
        <v>73</v>
      </c>
      <c r="F32" s="93">
        <v>319</v>
      </c>
      <c r="G32" s="8"/>
      <c r="H32" s="93">
        <v>245</v>
      </c>
    </row>
    <row r="33" spans="2:8" ht="12.75">
      <c r="B33" s="10" t="s">
        <v>74</v>
      </c>
      <c r="C33" s="10"/>
      <c r="D33" s="10"/>
      <c r="E33" s="10"/>
      <c r="F33" s="94">
        <v>657</v>
      </c>
      <c r="G33" s="10"/>
      <c r="H33" s="94">
        <v>452</v>
      </c>
    </row>
    <row r="34" spans="2:8" ht="12.75">
      <c r="B34" s="1" t="s">
        <v>75</v>
      </c>
      <c r="F34" s="11">
        <f>SUM(F29:F33)</f>
        <v>2864</v>
      </c>
      <c r="H34" s="11">
        <f>SUM(H29:H33)</f>
        <v>2601</v>
      </c>
    </row>
    <row r="36" spans="2:8" ht="12.75">
      <c r="B36" s="1" t="s">
        <v>76</v>
      </c>
      <c r="F36" s="93">
        <v>2349</v>
      </c>
      <c r="G36" s="8"/>
      <c r="H36" s="93">
        <v>1860</v>
      </c>
    </row>
    <row r="37" spans="2:8" ht="12.75">
      <c r="B37" s="1" t="s">
        <v>77</v>
      </c>
      <c r="F37" s="93">
        <v>538</v>
      </c>
      <c r="G37" s="8"/>
      <c r="H37" s="93">
        <v>485</v>
      </c>
    </row>
    <row r="38" spans="2:8" ht="12.75">
      <c r="B38" s="1" t="s">
        <v>78</v>
      </c>
      <c r="F38" s="93">
        <v>26</v>
      </c>
      <c r="G38" s="8"/>
      <c r="H38" s="93">
        <v>16</v>
      </c>
    </row>
    <row r="39" spans="2:8" ht="12.75">
      <c r="B39" s="1" t="s">
        <v>79</v>
      </c>
      <c r="F39" s="93">
        <v>280</v>
      </c>
      <c r="G39" s="8"/>
      <c r="H39" s="93">
        <v>269</v>
      </c>
    </row>
    <row r="40" spans="2:8" ht="12.75">
      <c r="B40" s="1" t="s">
        <v>80</v>
      </c>
      <c r="F40" s="93">
        <v>225</v>
      </c>
      <c r="G40" s="8"/>
      <c r="H40" s="93">
        <v>212</v>
      </c>
    </row>
    <row r="41" spans="2:8" ht="12.75">
      <c r="B41" s="1" t="s">
        <v>81</v>
      </c>
      <c r="F41" s="93">
        <v>9</v>
      </c>
      <c r="G41" s="8"/>
      <c r="H41" s="93">
        <v>0</v>
      </c>
    </row>
    <row r="43" spans="2:8" ht="12.75">
      <c r="B43" s="96" t="s">
        <v>82</v>
      </c>
      <c r="F43" s="97">
        <f>F34+SUM(F36:F41)</f>
        <v>6291</v>
      </c>
      <c r="G43" s="96"/>
      <c r="H43" s="97">
        <f>H34+SUM(H36:H41)</f>
        <v>5443</v>
      </c>
    </row>
    <row r="45" ht="13.5">
      <c r="B45" s="2" t="s">
        <v>83</v>
      </c>
    </row>
    <row r="46" spans="2:8" ht="12.75">
      <c r="B46" s="1" t="s">
        <v>84</v>
      </c>
      <c r="F46" s="91">
        <v>30</v>
      </c>
      <c r="G46" s="92"/>
      <c r="H46" s="91">
        <v>30</v>
      </c>
    </row>
    <row r="47" spans="2:8" ht="12.75">
      <c r="B47" s="1" t="s">
        <v>85</v>
      </c>
      <c r="F47" s="93">
        <v>407</v>
      </c>
      <c r="G47" s="73"/>
      <c r="H47" s="93">
        <v>405</v>
      </c>
    </row>
    <row r="48" spans="2:8" ht="12.75">
      <c r="B48" s="1" t="s">
        <v>86</v>
      </c>
      <c r="F48" s="93">
        <v>5308</v>
      </c>
      <c r="G48" s="73"/>
      <c r="H48" s="93">
        <v>5560</v>
      </c>
    </row>
    <row r="49" spans="2:8" ht="12.75">
      <c r="B49" s="1" t="s">
        <v>87</v>
      </c>
      <c r="F49" s="93">
        <v>-64</v>
      </c>
      <c r="G49" s="73"/>
      <c r="H49" s="93">
        <v>-7</v>
      </c>
    </row>
    <row r="50" spans="2:8" ht="12.75">
      <c r="B50" s="1" t="s">
        <v>88</v>
      </c>
      <c r="F50" s="93">
        <v>0</v>
      </c>
      <c r="G50" s="73"/>
      <c r="H50" s="93">
        <v>-5</v>
      </c>
    </row>
    <row r="51" spans="2:8" ht="12.75">
      <c r="B51" s="10" t="s">
        <v>89</v>
      </c>
      <c r="C51" s="10"/>
      <c r="D51" s="10"/>
      <c r="E51" s="10"/>
      <c r="F51" s="94">
        <v>-1707</v>
      </c>
      <c r="G51" s="17"/>
      <c r="H51" s="94">
        <v>-1658</v>
      </c>
    </row>
    <row r="52" spans="2:8" ht="12.75">
      <c r="B52" s="1" t="s">
        <v>90</v>
      </c>
      <c r="F52" s="11">
        <f>SUM(F46:F51)</f>
        <v>3974</v>
      </c>
      <c r="H52" s="11">
        <f>SUM(H46:H51)</f>
        <v>4325</v>
      </c>
    </row>
    <row r="54" spans="2:8" ht="13.5" thickBot="1">
      <c r="B54" s="98" t="s">
        <v>91</v>
      </c>
      <c r="C54" s="4"/>
      <c r="D54" s="4"/>
      <c r="E54" s="4"/>
      <c r="F54" s="99">
        <f>F43+F52</f>
        <v>10265</v>
      </c>
      <c r="G54" s="98"/>
      <c r="H54" s="99">
        <f>H43+H52</f>
        <v>9768</v>
      </c>
    </row>
  </sheetData>
  <sheetProtection/>
  <printOptions/>
  <pageMargins left="0.5" right="0.5" top="0.5" bottom="0.5" header="0.5" footer="0.5"/>
  <pageSetup fitToHeight="1" fitToWidth="1" horizontalDpi="600" verticalDpi="600" orientation="landscape" scale="82" r:id="rId1"/>
  <headerFooter alignWithMargins="0">
    <oddFooter>&amp;R&amp;"Times New Roman,Regular"&amp;8Page &amp;P &amp;D / &amp;T</oddFooter>
  </headerFooter>
</worksheet>
</file>

<file path=xl/worksheets/sheet7.xml><?xml version="1.0" encoding="utf-8"?>
<worksheet xmlns="http://schemas.openxmlformats.org/spreadsheetml/2006/main" xmlns:r="http://schemas.openxmlformats.org/officeDocument/2006/relationships">
  <sheetPr>
    <tabColor indexed="10"/>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X129"/>
  <sheetViews>
    <sheetView showGridLines="0" zoomScalePageLayoutView="0" workbookViewId="0" topLeftCell="A1">
      <selection activeCell="A1" sqref="A1"/>
    </sheetView>
  </sheetViews>
  <sheetFormatPr defaultColWidth="10.7109375" defaultRowHeight="12.75"/>
  <cols>
    <col min="1" max="16384" width="10.7109375" style="1" customWidth="1"/>
  </cols>
  <sheetData>
    <row r="2" ht="13.5">
      <c r="B2" s="50" t="s">
        <v>40</v>
      </c>
    </row>
    <row r="3" ht="12.75">
      <c r="B3" s="5" t="str">
        <f>'Case Manager'!$K$5</f>
        <v>($ in millions)</v>
      </c>
    </row>
    <row r="4" ht="12.75">
      <c r="B4" s="5"/>
    </row>
    <row r="5" ht="13.5">
      <c r="B5" s="50" t="s">
        <v>117</v>
      </c>
    </row>
    <row r="6" spans="2:14" ht="14.25" thickBot="1">
      <c r="B6" s="3"/>
      <c r="C6" s="4"/>
      <c r="D6" s="4"/>
      <c r="E6" s="4"/>
      <c r="F6" s="4"/>
      <c r="G6" s="4"/>
      <c r="H6" s="4"/>
      <c r="I6" s="4"/>
      <c r="J6" s="4"/>
      <c r="K6" s="4"/>
      <c r="L6" s="4"/>
      <c r="M6" s="4"/>
      <c r="N6" s="4"/>
    </row>
    <row r="7" spans="2:14" ht="13.5">
      <c r="B7" s="5" t="str">
        <f>'Case Manager'!$K$6</f>
        <v>For the FYE January 31</v>
      </c>
      <c r="F7" s="12" t="str">
        <f>'Consolidated Financial Results'!$F$7</f>
        <v>Actual</v>
      </c>
      <c r="G7" s="13"/>
      <c r="H7" s="53"/>
      <c r="I7" s="12" t="str">
        <f>'Consolidated Financial Results'!$I$7</f>
        <v>Projected</v>
      </c>
      <c r="J7" s="12"/>
      <c r="K7" s="12"/>
      <c r="L7" s="13"/>
      <c r="M7" s="6"/>
      <c r="N7" s="33"/>
    </row>
    <row r="8" spans="2:14" ht="12.75">
      <c r="B8" s="7"/>
      <c r="C8" s="7"/>
      <c r="D8" s="7"/>
      <c r="E8" s="7"/>
      <c r="F8" s="15">
        <f>'Consolidated Financial Results'!$F$8</f>
        <v>2003</v>
      </c>
      <c r="G8" s="15">
        <f>'Consolidated Financial Results'!$G$8</f>
        <v>2004</v>
      </c>
      <c r="H8" s="16">
        <f>'Consolidated Financial Results'!$H$8</f>
        <v>2005</v>
      </c>
      <c r="I8" s="15">
        <f>'Consolidated Financial Results'!$I$8</f>
        <v>2006</v>
      </c>
      <c r="J8" s="15">
        <f>'Consolidated Financial Results'!$J$8</f>
        <v>2007</v>
      </c>
      <c r="K8" s="15">
        <f>'Consolidated Financial Results'!$K$8</f>
        <v>2008</v>
      </c>
      <c r="L8" s="15">
        <f>'Consolidated Financial Results'!$L$8</f>
        <v>2009</v>
      </c>
      <c r="M8" s="32">
        <f>'Consolidated Financial Results'!$M$8</f>
        <v>2010</v>
      </c>
      <c r="N8" s="128" t="s">
        <v>110</v>
      </c>
    </row>
    <row r="9" spans="2:15" ht="12.75" customHeight="1">
      <c r="B9" s="1" t="str">
        <f>'Case Manager'!$B$59</f>
        <v>Base Case</v>
      </c>
      <c r="F9" s="51"/>
      <c r="G9" s="51"/>
      <c r="H9" s="54"/>
      <c r="I9" s="107">
        <v>0</v>
      </c>
      <c r="J9" s="107">
        <v>0</v>
      </c>
      <c r="K9" s="107">
        <v>0</v>
      </c>
      <c r="L9" s="107">
        <v>0</v>
      </c>
      <c r="M9" s="107">
        <v>0</v>
      </c>
      <c r="N9" s="129">
        <f>SUM(I9:M9)</f>
        <v>0</v>
      </c>
      <c r="O9" s="131" t="str">
        <f>IF(N9&gt;150,"TOO MANY DIVESTITURES - REVISE ASSUMPTIONS","  ")</f>
        <v>  </v>
      </c>
    </row>
    <row r="10" spans="2:15" ht="12.75" customHeight="1">
      <c r="B10" s="1" t="str">
        <f>'Case Manager'!$B$60</f>
        <v>Upside Case</v>
      </c>
      <c r="F10" s="51"/>
      <c r="G10" s="51"/>
      <c r="H10" s="54"/>
      <c r="I10" s="107">
        <v>0</v>
      </c>
      <c r="J10" s="107">
        <v>0</v>
      </c>
      <c r="K10" s="107">
        <v>0</v>
      </c>
      <c r="L10" s="107">
        <v>0</v>
      </c>
      <c r="M10" s="107">
        <v>0</v>
      </c>
      <c r="N10" s="76">
        <f>SUM(I10:M10)</f>
        <v>0</v>
      </c>
      <c r="O10" s="131" t="str">
        <f>IF(N10&gt;150,"TOO MANY DIVESTITURES - REVISE ASSUMPTIONS","  ")</f>
        <v>  </v>
      </c>
    </row>
    <row r="11" spans="2:15" ht="12.75" customHeight="1">
      <c r="B11" s="1" t="str">
        <f>'Case Manager'!$B$61</f>
        <v>Downside Case</v>
      </c>
      <c r="F11" s="51"/>
      <c r="G11" s="51"/>
      <c r="H11" s="54"/>
      <c r="I11" s="107">
        <v>0</v>
      </c>
      <c r="J11" s="107">
        <v>0</v>
      </c>
      <c r="K11" s="107">
        <v>0</v>
      </c>
      <c r="L11" s="107">
        <v>0</v>
      </c>
      <c r="M11" s="107">
        <v>0</v>
      </c>
      <c r="N11" s="76">
        <f>SUM(I11:M11)</f>
        <v>0</v>
      </c>
      <c r="O11" s="131" t="str">
        <f>IF(N11&gt;150,"TOO MANY DIVESTITURES - REVISE ASSUMPTIONS","  ")</f>
        <v>  </v>
      </c>
    </row>
    <row r="12" spans="2:15" ht="12.75" customHeight="1">
      <c r="B12" s="1" t="str">
        <f>'Case Manager'!$B$62</f>
        <v>Open Case #1</v>
      </c>
      <c r="F12" s="51"/>
      <c r="G12" s="51"/>
      <c r="H12" s="54"/>
      <c r="I12" s="107">
        <v>0</v>
      </c>
      <c r="J12" s="107">
        <v>0</v>
      </c>
      <c r="K12" s="107">
        <v>0</v>
      </c>
      <c r="L12" s="107">
        <v>0</v>
      </c>
      <c r="M12" s="107">
        <v>0</v>
      </c>
      <c r="N12" s="76">
        <f>SUM(I12:M12)</f>
        <v>0</v>
      </c>
      <c r="O12" s="131" t="str">
        <f>IF(N12&gt;150,"TOO MANY DIVESTITURES - REVISE ASSUMPTIONS","  ")</f>
        <v>  </v>
      </c>
    </row>
    <row r="13" spans="2:15" ht="12.75" customHeight="1">
      <c r="B13" s="10" t="str">
        <f>'Case Manager'!$B$63</f>
        <v>Open Case #2</v>
      </c>
      <c r="C13" s="10"/>
      <c r="D13" s="10"/>
      <c r="E13" s="10"/>
      <c r="F13" s="52"/>
      <c r="G13" s="52"/>
      <c r="H13" s="55"/>
      <c r="I13" s="108">
        <v>0</v>
      </c>
      <c r="J13" s="108">
        <v>0</v>
      </c>
      <c r="K13" s="108">
        <v>0</v>
      </c>
      <c r="L13" s="108">
        <v>0</v>
      </c>
      <c r="M13" s="108">
        <v>0</v>
      </c>
      <c r="N13" s="130">
        <f>SUM(I13:M13)</f>
        <v>0</v>
      </c>
      <c r="O13" s="131" t="str">
        <f>IF(N13&gt;150,"TOO MANY DIVESTITURES - REVISE ASSUMPTIONS","  ")</f>
        <v>  </v>
      </c>
    </row>
    <row r="14" spans="2:13" ht="12.75">
      <c r="B14" s="1" t="str">
        <f>CHOOSE('Case Manager'!$G$65,'Toys R Us Domestic'!B9,'Toys R Us Domestic'!B10,'Toys R Us Domestic'!B11,'Toys R Us Domestic'!B12,'Toys R Us Domestic'!B13)</f>
        <v>Base Case</v>
      </c>
      <c r="F14" s="104">
        <v>16</v>
      </c>
      <c r="G14" s="104">
        <v>0</v>
      </c>
      <c r="H14" s="105">
        <v>4</v>
      </c>
      <c r="I14" s="109">
        <f>CHOOSE('Case Manager'!$G$65,'Toys R Us Domestic'!I9,'Toys R Us Domestic'!I10,'Toys R Us Domestic'!I11,'Toys R Us Domestic'!I12,'Toys R Us Domestic'!I13)</f>
        <v>0</v>
      </c>
      <c r="J14" s="109">
        <f>CHOOSE('Case Manager'!$G$65,'Toys R Us Domestic'!J9,'Toys R Us Domestic'!J10,'Toys R Us Domestic'!J11,'Toys R Us Domestic'!J12,'Toys R Us Domestic'!J13)</f>
        <v>0</v>
      </c>
      <c r="K14" s="109">
        <f>CHOOSE('Case Manager'!$G$65,'Toys R Us Domestic'!K9,'Toys R Us Domestic'!K10,'Toys R Us Domestic'!K11,'Toys R Us Domestic'!K12,'Toys R Us Domestic'!K13)</f>
        <v>0</v>
      </c>
      <c r="L14" s="109">
        <f>CHOOSE('Case Manager'!$G$65,'Toys R Us Domestic'!L9,'Toys R Us Domestic'!L10,'Toys R Us Domestic'!L11,'Toys R Us Domestic'!L12,'Toys R Us Domestic'!L13)</f>
        <v>0</v>
      </c>
      <c r="M14" s="109">
        <f>CHOOSE('Case Manager'!$G$65,'Toys R Us Domestic'!M9,'Toys R Us Domestic'!M10,'Toys R Us Domestic'!M11,'Toys R Us Domestic'!M12,'Toys R Us Domestic'!M13)</f>
        <v>0</v>
      </c>
    </row>
    <row r="15" spans="6:13" ht="12.75">
      <c r="F15" s="9"/>
      <c r="G15" s="9"/>
      <c r="H15" s="27"/>
      <c r="I15" s="9"/>
      <c r="J15" s="9"/>
      <c r="K15" s="9"/>
      <c r="L15" s="9"/>
      <c r="M15" s="9"/>
    </row>
    <row r="16" spans="2:13" ht="12.75">
      <c r="B16" s="1" t="s">
        <v>95</v>
      </c>
      <c r="F16" s="93">
        <v>701</v>
      </c>
      <c r="G16" s="73">
        <f>F18</f>
        <v>685</v>
      </c>
      <c r="H16" s="25">
        <f aca="true" t="shared" si="0" ref="H16:M16">G18</f>
        <v>685</v>
      </c>
      <c r="I16" s="73">
        <f t="shared" si="0"/>
        <v>681</v>
      </c>
      <c r="J16" s="73">
        <f t="shared" si="0"/>
        <v>681</v>
      </c>
      <c r="K16" s="73">
        <f t="shared" si="0"/>
        <v>681</v>
      </c>
      <c r="L16" s="73">
        <f t="shared" si="0"/>
        <v>681</v>
      </c>
      <c r="M16" s="73">
        <f t="shared" si="0"/>
        <v>681</v>
      </c>
    </row>
    <row r="17" spans="2:14" ht="12.75">
      <c r="B17" s="10" t="s">
        <v>92</v>
      </c>
      <c r="C17" s="10"/>
      <c r="D17" s="10"/>
      <c r="E17" s="10"/>
      <c r="F17" s="17">
        <f>F14</f>
        <v>16</v>
      </c>
      <c r="G17" s="17">
        <f aca="true" t="shared" si="1" ref="G17:M17">G14</f>
        <v>0</v>
      </c>
      <c r="H17" s="26">
        <f t="shared" si="1"/>
        <v>4</v>
      </c>
      <c r="I17" s="17">
        <f t="shared" si="1"/>
        <v>0</v>
      </c>
      <c r="J17" s="17">
        <f t="shared" si="1"/>
        <v>0</v>
      </c>
      <c r="K17" s="17">
        <f t="shared" si="1"/>
        <v>0</v>
      </c>
      <c r="L17" s="17">
        <f t="shared" si="1"/>
        <v>0</v>
      </c>
      <c r="M17" s="17">
        <f t="shared" si="1"/>
        <v>0</v>
      </c>
      <c r="N17" s="10"/>
    </row>
    <row r="18" spans="2:14" ht="13.5" thickBot="1">
      <c r="B18" s="58" t="s">
        <v>93</v>
      </c>
      <c r="C18" s="4"/>
      <c r="D18" s="4"/>
      <c r="E18" s="4"/>
      <c r="F18" s="103">
        <f>F16-F17</f>
        <v>685</v>
      </c>
      <c r="G18" s="103">
        <f aca="true" t="shared" si="2" ref="G18:M18">G16-G17</f>
        <v>685</v>
      </c>
      <c r="H18" s="106">
        <f t="shared" si="2"/>
        <v>681</v>
      </c>
      <c r="I18" s="103">
        <f t="shared" si="2"/>
        <v>681</v>
      </c>
      <c r="J18" s="103">
        <f t="shared" si="2"/>
        <v>681</v>
      </c>
      <c r="K18" s="103">
        <f t="shared" si="2"/>
        <v>681</v>
      </c>
      <c r="L18" s="103">
        <f t="shared" si="2"/>
        <v>681</v>
      </c>
      <c r="M18" s="103">
        <f t="shared" si="2"/>
        <v>681</v>
      </c>
      <c r="N18" s="4"/>
    </row>
    <row r="19" ht="12.75">
      <c r="B19" s="5"/>
    </row>
    <row r="20" spans="2:6" ht="13.5">
      <c r="B20" s="50" t="s">
        <v>94</v>
      </c>
      <c r="F20" s="110"/>
    </row>
    <row r="21" spans="2:14" ht="14.25" thickBot="1">
      <c r="B21" s="3"/>
      <c r="C21" s="4"/>
      <c r="D21" s="4"/>
      <c r="E21" s="4"/>
      <c r="F21" s="4"/>
      <c r="G21" s="4"/>
      <c r="H21" s="4"/>
      <c r="I21" s="4"/>
      <c r="J21" s="4"/>
      <c r="K21" s="4"/>
      <c r="L21" s="4"/>
      <c r="M21" s="4"/>
      <c r="N21" s="4"/>
    </row>
    <row r="22" spans="2:14" ht="13.5">
      <c r="B22" s="5" t="str">
        <f>'Case Manager'!$K$6</f>
        <v>For the FYE January 31</v>
      </c>
      <c r="F22" s="12" t="str">
        <f>'Consolidated Financial Results'!$F$7</f>
        <v>Actual</v>
      </c>
      <c r="G22" s="13"/>
      <c r="H22" s="53"/>
      <c r="I22" s="12" t="str">
        <f>'Consolidated Financial Results'!$I$7</f>
        <v>Projected</v>
      </c>
      <c r="J22" s="12"/>
      <c r="K22" s="12"/>
      <c r="L22" s="13"/>
      <c r="M22" s="6"/>
      <c r="N22" s="33"/>
    </row>
    <row r="23" spans="2:14" ht="12.75">
      <c r="B23" s="7"/>
      <c r="C23" s="7"/>
      <c r="D23" s="7"/>
      <c r="E23" s="7"/>
      <c r="F23" s="15">
        <f>'Consolidated Financial Results'!$F$8</f>
        <v>2003</v>
      </c>
      <c r="G23" s="15">
        <f>'Consolidated Financial Results'!$G$8</f>
        <v>2004</v>
      </c>
      <c r="H23" s="16">
        <f>'Consolidated Financial Results'!$H$8</f>
        <v>2005</v>
      </c>
      <c r="I23" s="15">
        <f>'Consolidated Financial Results'!$I$8</f>
        <v>2006</v>
      </c>
      <c r="J23" s="15">
        <f>'Consolidated Financial Results'!$J$8</f>
        <v>2007</v>
      </c>
      <c r="K23" s="15">
        <f>'Consolidated Financial Results'!$K$8</f>
        <v>2008</v>
      </c>
      <c r="L23" s="15">
        <f>'Consolidated Financial Results'!$L$8</f>
        <v>2009</v>
      </c>
      <c r="M23" s="32">
        <f>'Consolidated Financial Results'!$M$8</f>
        <v>2010</v>
      </c>
      <c r="N23" s="34"/>
    </row>
    <row r="24" spans="2:13" ht="12.75">
      <c r="B24" s="1" t="str">
        <f>'Case Manager'!$B$59</f>
        <v>Base Case</v>
      </c>
      <c r="F24" s="51"/>
      <c r="G24" s="51"/>
      <c r="H24" s="54"/>
      <c r="I24" s="60">
        <v>0</v>
      </c>
      <c r="J24" s="60">
        <v>0</v>
      </c>
      <c r="K24" s="60">
        <v>0</v>
      </c>
      <c r="L24" s="60">
        <v>0</v>
      </c>
      <c r="M24" s="60">
        <v>0</v>
      </c>
    </row>
    <row r="25" spans="2:13" ht="12.75">
      <c r="B25" s="1" t="str">
        <f>'Case Manager'!$B$60</f>
        <v>Upside Case</v>
      </c>
      <c r="F25" s="51"/>
      <c r="G25" s="51"/>
      <c r="H25" s="54"/>
      <c r="I25" s="60">
        <v>0</v>
      </c>
      <c r="J25" s="60">
        <v>0</v>
      </c>
      <c r="K25" s="60">
        <v>0</v>
      </c>
      <c r="L25" s="60">
        <v>0</v>
      </c>
      <c r="M25" s="60">
        <v>0</v>
      </c>
    </row>
    <row r="26" spans="2:13" ht="12.75">
      <c r="B26" s="1" t="str">
        <f>'Case Manager'!$B$61</f>
        <v>Downside Case</v>
      </c>
      <c r="F26" s="51"/>
      <c r="G26" s="51"/>
      <c r="H26" s="54"/>
      <c r="I26" s="60">
        <v>0</v>
      </c>
      <c r="J26" s="60">
        <v>0</v>
      </c>
      <c r="K26" s="60">
        <v>0</v>
      </c>
      <c r="L26" s="60">
        <v>0</v>
      </c>
      <c r="M26" s="60">
        <v>0</v>
      </c>
    </row>
    <row r="27" spans="2:13" ht="12.75">
      <c r="B27" s="1" t="str">
        <f>'Case Manager'!$B$62</f>
        <v>Open Case #1</v>
      </c>
      <c r="F27" s="51"/>
      <c r="G27" s="51"/>
      <c r="H27" s="54"/>
      <c r="I27" s="60">
        <v>0</v>
      </c>
      <c r="J27" s="60">
        <v>0</v>
      </c>
      <c r="K27" s="60">
        <v>0</v>
      </c>
      <c r="L27" s="60">
        <v>0</v>
      </c>
      <c r="M27" s="60">
        <v>0</v>
      </c>
    </row>
    <row r="28" spans="2:14" ht="12.75">
      <c r="B28" s="10" t="str">
        <f>'Case Manager'!$B$63</f>
        <v>Open Case #2</v>
      </c>
      <c r="C28" s="10"/>
      <c r="D28" s="10"/>
      <c r="E28" s="10"/>
      <c r="F28" s="52"/>
      <c r="G28" s="52"/>
      <c r="H28" s="55"/>
      <c r="I28" s="61">
        <v>0</v>
      </c>
      <c r="J28" s="61">
        <v>0</v>
      </c>
      <c r="K28" s="61">
        <v>0</v>
      </c>
      <c r="L28" s="61">
        <v>0</v>
      </c>
      <c r="M28" s="61">
        <v>0</v>
      </c>
      <c r="N28" s="10"/>
    </row>
    <row r="29" spans="2:13" ht="12.75">
      <c r="B29" s="1" t="str">
        <f>CHOOSE('Case Manager'!$G$65,'Toys R Us Domestic'!B24,'Toys R Us Domestic'!B25,'Toys R Us Domestic'!B26,'Toys R Us Domestic'!B27,'Toys R Us Domestic'!B28)</f>
        <v>Base Case</v>
      </c>
      <c r="F29" s="9"/>
      <c r="G29" s="9">
        <f>G31/F31-1</f>
        <v>-0.0525713853485118</v>
      </c>
      <c r="H29" s="27">
        <f>H31/G31-1</f>
        <v>-0.03226777032572348</v>
      </c>
      <c r="I29" s="9">
        <f>CHOOSE('Case Manager'!$G$65,'Toys R Us Domestic'!I24,'Toys R Us Domestic'!I25,'Toys R Us Domestic'!I26,'Toys R Us Domestic'!I27,'Toys R Us Domestic'!I28)</f>
        <v>0</v>
      </c>
      <c r="J29" s="9">
        <f>CHOOSE('Case Manager'!$G$65,'Toys R Us Domestic'!J24,'Toys R Us Domestic'!J25,'Toys R Us Domestic'!J26,'Toys R Us Domestic'!J27,'Toys R Us Domestic'!J28)</f>
        <v>0</v>
      </c>
      <c r="K29" s="9">
        <f>CHOOSE('Case Manager'!$G$65,'Toys R Us Domestic'!K24,'Toys R Us Domestic'!K25,'Toys R Us Domestic'!K26,'Toys R Us Domestic'!K27,'Toys R Us Domestic'!K28)</f>
        <v>0</v>
      </c>
      <c r="L29" s="9">
        <f>CHOOSE('Case Manager'!$G$65,'Toys R Us Domestic'!L24,'Toys R Us Domestic'!L25,'Toys R Us Domestic'!L26,'Toys R Us Domestic'!L27,'Toys R Us Domestic'!L28)</f>
        <v>0</v>
      </c>
      <c r="M29" s="9">
        <f>CHOOSE('Case Manager'!$G$65,'Toys R Us Domestic'!M24,'Toys R Us Domestic'!M25,'Toys R Us Domestic'!M26,'Toys R Us Domestic'!M27,'Toys R Us Domestic'!M28)</f>
        <v>0</v>
      </c>
    </row>
    <row r="30" spans="6:13" ht="12.75">
      <c r="F30" s="9"/>
      <c r="G30" s="9"/>
      <c r="H30" s="27"/>
      <c r="I30" s="9"/>
      <c r="J30" s="9"/>
      <c r="K30" s="9"/>
      <c r="L30" s="9"/>
      <c r="M30" s="9"/>
    </row>
    <row r="31" spans="2:14" ht="13.5" thickBot="1">
      <c r="B31" s="58" t="s">
        <v>96</v>
      </c>
      <c r="C31" s="4"/>
      <c r="D31" s="4"/>
      <c r="E31" s="4"/>
      <c r="F31" s="114">
        <v>9.747474747474747</v>
      </c>
      <c r="G31" s="114">
        <v>9.235036496350364</v>
      </c>
      <c r="H31" s="115">
        <v>8.937042459736457</v>
      </c>
      <c r="I31" s="116">
        <f>H31*(1+I29)</f>
        <v>8.937042459736457</v>
      </c>
      <c r="J31" s="116">
        <f>I31*(1+J29)</f>
        <v>8.937042459736457</v>
      </c>
      <c r="K31" s="116">
        <f>J31*(1+K29)</f>
        <v>8.937042459736457</v>
      </c>
      <c r="L31" s="116">
        <f>K31*(1+L29)</f>
        <v>8.937042459736457</v>
      </c>
      <c r="M31" s="116">
        <f>L31*(1+M29)</f>
        <v>8.937042459736457</v>
      </c>
      <c r="N31" s="4"/>
    </row>
    <row r="32" spans="2:14" ht="13.5" thickBot="1">
      <c r="B32" s="111"/>
      <c r="C32" s="112"/>
      <c r="D32" s="112"/>
      <c r="E32" s="112"/>
      <c r="F32" s="112"/>
      <c r="G32" s="112"/>
      <c r="H32" s="112"/>
      <c r="I32" s="112"/>
      <c r="J32" s="112"/>
      <c r="K32" s="112"/>
      <c r="L32" s="112"/>
      <c r="M32" s="112"/>
      <c r="N32" s="112"/>
    </row>
    <row r="33" spans="2:14" ht="13.5" thickBot="1">
      <c r="B33" s="58" t="s">
        <v>31</v>
      </c>
      <c r="C33" s="4"/>
      <c r="D33" s="4"/>
      <c r="E33" s="4"/>
      <c r="F33" s="57">
        <f>AVERAGE(F16,F18)*F31</f>
        <v>6755</v>
      </c>
      <c r="G33" s="57">
        <f aca="true" t="shared" si="3" ref="G33:M33">AVERAGE(G16,G18)*G31</f>
        <v>6326</v>
      </c>
      <c r="H33" s="113">
        <f t="shared" si="3"/>
        <v>6104</v>
      </c>
      <c r="I33" s="57">
        <f t="shared" si="3"/>
        <v>6086.125915080527</v>
      </c>
      <c r="J33" s="57">
        <f t="shared" si="3"/>
        <v>6086.125915080527</v>
      </c>
      <c r="K33" s="57">
        <f t="shared" si="3"/>
        <v>6086.125915080527</v>
      </c>
      <c r="L33" s="57">
        <f t="shared" si="3"/>
        <v>6086.125915080527</v>
      </c>
      <c r="M33" s="57">
        <f t="shared" si="3"/>
        <v>6086.125915080527</v>
      </c>
      <c r="N33" s="4"/>
    </row>
    <row r="34" ht="12.75">
      <c r="B34" s="5"/>
    </row>
    <row r="35" ht="13.5">
      <c r="B35" s="50" t="s">
        <v>102</v>
      </c>
    </row>
    <row r="36" spans="2:14" ht="14.25" thickBot="1">
      <c r="B36" s="3"/>
      <c r="C36" s="4"/>
      <c r="D36" s="4"/>
      <c r="E36" s="4"/>
      <c r="F36" s="4"/>
      <c r="G36" s="4"/>
      <c r="H36" s="4"/>
      <c r="I36" s="4"/>
      <c r="J36" s="4"/>
      <c r="K36" s="4"/>
      <c r="L36" s="4"/>
      <c r="M36" s="4"/>
      <c r="N36" s="4"/>
    </row>
    <row r="37" spans="2:14" ht="13.5">
      <c r="B37" s="5" t="str">
        <f>'Case Manager'!$K$6</f>
        <v>For the FYE January 31</v>
      </c>
      <c r="F37" s="12" t="str">
        <f>'Consolidated Financial Results'!$F$7</f>
        <v>Actual</v>
      </c>
      <c r="G37" s="13"/>
      <c r="H37" s="53"/>
      <c r="I37" s="12" t="str">
        <f>'Consolidated Financial Results'!$I$7</f>
        <v>Projected</v>
      </c>
      <c r="J37" s="12"/>
      <c r="K37" s="12"/>
      <c r="L37" s="13"/>
      <c r="M37" s="6"/>
      <c r="N37" s="33"/>
    </row>
    <row r="38" spans="2:14" ht="12.75">
      <c r="B38" s="7"/>
      <c r="C38" s="7"/>
      <c r="D38" s="7"/>
      <c r="E38" s="7"/>
      <c r="F38" s="15">
        <f>'Consolidated Financial Results'!$F$8</f>
        <v>2003</v>
      </c>
      <c r="G38" s="15">
        <f>'Consolidated Financial Results'!$G$8</f>
        <v>2004</v>
      </c>
      <c r="H38" s="16">
        <f>'Consolidated Financial Results'!$H$8</f>
        <v>2005</v>
      </c>
      <c r="I38" s="15">
        <f>'Consolidated Financial Results'!$I$8</f>
        <v>2006</v>
      </c>
      <c r="J38" s="15">
        <f>'Consolidated Financial Results'!$J$8</f>
        <v>2007</v>
      </c>
      <c r="K38" s="15">
        <f>'Consolidated Financial Results'!$K$8</f>
        <v>2008</v>
      </c>
      <c r="L38" s="15">
        <f>'Consolidated Financial Results'!$L$8</f>
        <v>2009</v>
      </c>
      <c r="M38" s="32">
        <f>'Consolidated Financial Results'!$M$8</f>
        <v>2010</v>
      </c>
      <c r="N38" s="34"/>
    </row>
    <row r="39" spans="2:14" ht="12.75">
      <c r="B39" s="93" t="s">
        <v>103</v>
      </c>
      <c r="C39" s="93"/>
      <c r="D39" s="93"/>
      <c r="E39" s="93"/>
      <c r="F39" s="93"/>
      <c r="G39" s="93"/>
      <c r="H39" s="127"/>
      <c r="I39" s="73">
        <f>H41</f>
        <v>315</v>
      </c>
      <c r="J39" s="73">
        <f>I41</f>
        <v>315</v>
      </c>
      <c r="K39" s="73">
        <f>J41</f>
        <v>315</v>
      </c>
      <c r="L39" s="73">
        <f>K41</f>
        <v>315</v>
      </c>
      <c r="M39" s="73">
        <f>L41</f>
        <v>315</v>
      </c>
      <c r="N39"/>
    </row>
    <row r="40" spans="2:14" ht="12.75">
      <c r="B40" s="17" t="s">
        <v>104</v>
      </c>
      <c r="C40" s="17"/>
      <c r="D40" s="17"/>
      <c r="E40" s="17"/>
      <c r="F40" s="17"/>
      <c r="G40" s="17"/>
      <c r="H40" s="26"/>
      <c r="I40" s="17">
        <f>I14</f>
        <v>0</v>
      </c>
      <c r="J40" s="17">
        <f>J14</f>
        <v>0</v>
      </c>
      <c r="K40" s="17">
        <f>K14</f>
        <v>0</v>
      </c>
      <c r="L40" s="17">
        <f>L14</f>
        <v>0</v>
      </c>
      <c r="M40" s="17">
        <f>M14</f>
        <v>0</v>
      </c>
      <c r="N40"/>
    </row>
    <row r="41" spans="2:14" ht="12.75">
      <c r="B41" s="1" t="s">
        <v>105</v>
      </c>
      <c r="H41" s="105">
        <v>315</v>
      </c>
      <c r="I41" s="21">
        <f>I39-I40</f>
        <v>315</v>
      </c>
      <c r="J41" s="21">
        <f>J39-J40</f>
        <v>315</v>
      </c>
      <c r="K41" s="21">
        <f>K39-K40</f>
        <v>315</v>
      </c>
      <c r="L41" s="21">
        <f>L39-L40</f>
        <v>315</v>
      </c>
      <c r="M41" s="21">
        <f>M39-M40</f>
        <v>315</v>
      </c>
      <c r="N41" s="126"/>
    </row>
    <row r="42" spans="2:8" ht="12.75">
      <c r="B42" s="5"/>
      <c r="H42" s="28"/>
    </row>
    <row r="43" spans="2:13" ht="12.75">
      <c r="B43" s="132" t="s">
        <v>114</v>
      </c>
      <c r="C43" s="133"/>
      <c r="D43" s="133"/>
      <c r="E43" s="133"/>
      <c r="F43" s="133"/>
      <c r="G43" s="133"/>
      <c r="H43" s="134"/>
      <c r="I43" s="133"/>
      <c r="J43" s="133"/>
      <c r="K43" s="133"/>
      <c r="L43" s="133"/>
      <c r="M43" s="133"/>
    </row>
    <row r="44" spans="2:13" ht="12.75">
      <c r="B44" s="133" t="s">
        <v>107</v>
      </c>
      <c r="C44" s="133"/>
      <c r="D44" s="133"/>
      <c r="E44" s="133"/>
      <c r="F44" s="133"/>
      <c r="G44" s="133"/>
      <c r="H44" s="135"/>
      <c r="I44" s="133">
        <f>IF(I40&gt;0,-MIN(I40,H50),-I40)</f>
        <v>0</v>
      </c>
      <c r="J44" s="133">
        <f>IF(J40&gt;0,-MIN(J40,I50),-J40)</f>
        <v>0</v>
      </c>
      <c r="K44" s="133">
        <f>IF(K40&gt;0,-MIN(K40,J50),-K40)</f>
        <v>0</v>
      </c>
      <c r="L44" s="133">
        <f>IF(L40&gt;0,-MIN(L40,K50),-L40)</f>
        <v>0</v>
      </c>
      <c r="M44" s="133">
        <f>IF(M40&gt;0,-MIN(M40,L50),-M40)</f>
        <v>0</v>
      </c>
    </row>
    <row r="45" spans="2:13" ht="12.75">
      <c r="B45" s="133" t="s">
        <v>108</v>
      </c>
      <c r="C45" s="133"/>
      <c r="D45" s="133"/>
      <c r="E45" s="133"/>
      <c r="F45" s="133"/>
      <c r="G45" s="133"/>
      <c r="H45" s="135"/>
      <c r="I45" s="133">
        <f>IF(I40-I44&gt;0,-MIN(I40+I44,H51),-I40)</f>
        <v>0</v>
      </c>
      <c r="J45" s="133">
        <f>IF(J40-J44&gt;0,-MIN(J40+J44,I51),-J40)</f>
        <v>0</v>
      </c>
      <c r="K45" s="133">
        <f>IF(K40-K44&gt;0,-MIN(K40+K44,J51),-K40)</f>
        <v>0</v>
      </c>
      <c r="L45" s="133">
        <f>IF(L40-L44&gt;0,-MIN(L40+L44,K51),-L40)</f>
        <v>0</v>
      </c>
      <c r="M45" s="133">
        <f>IF(M40-M44&gt;0,-MIN(M40+M44,L51),-M40)</f>
        <v>0</v>
      </c>
    </row>
    <row r="46" spans="2:15" ht="12.75">
      <c r="B46" s="142" t="s">
        <v>109</v>
      </c>
      <c r="C46" s="142"/>
      <c r="D46" s="142"/>
      <c r="E46" s="142"/>
      <c r="F46" s="142"/>
      <c r="G46" s="142"/>
      <c r="H46" s="147"/>
      <c r="I46" s="142">
        <f>IF(I40-I45-I44&gt;0,-MIN(I40+I45+I44,H52),-I40)</f>
        <v>0</v>
      </c>
      <c r="J46" s="142">
        <f>IF(J40-J45-J44&gt;0,-MIN(J40+J45+J44,I52),-J40)</f>
        <v>0</v>
      </c>
      <c r="K46" s="142">
        <f>IF(K40-K45-K44&gt;0,-MIN(K40+K45+K44,J52),-K40)</f>
        <v>0</v>
      </c>
      <c r="L46" s="142">
        <f>IF(L40-L45-L44&gt;0,-MIN(L40+L45+L44,K52),-L40)</f>
        <v>0</v>
      </c>
      <c r="M46" s="142">
        <f>IF(M40-M45-M44&gt;0,-MIN(M40+M45+M44,L52),-M40)</f>
        <v>0</v>
      </c>
      <c r="O46" s="140"/>
    </row>
    <row r="47" spans="2:13" ht="12.75">
      <c r="B47" s="133" t="s">
        <v>110</v>
      </c>
      <c r="C47" s="133"/>
      <c r="D47" s="133"/>
      <c r="E47" s="133"/>
      <c r="F47" s="133"/>
      <c r="G47" s="133"/>
      <c r="H47" s="135"/>
      <c r="I47" s="133">
        <f>SUM(I44:I46)</f>
        <v>0</v>
      </c>
      <c r="J47" s="133">
        <f>SUM(J44:J46)</f>
        <v>0</v>
      </c>
      <c r="K47" s="133">
        <f>SUM(K44:K46)</f>
        <v>0</v>
      </c>
      <c r="L47" s="133">
        <f>SUM(L44:L46)</f>
        <v>0</v>
      </c>
      <c r="M47" s="133">
        <f>SUM(M44:M46)</f>
        <v>0</v>
      </c>
    </row>
    <row r="48" spans="2:13" ht="12.75">
      <c r="B48" s="133"/>
      <c r="C48" s="133"/>
      <c r="D48" s="133"/>
      <c r="E48" s="133"/>
      <c r="F48" s="133"/>
      <c r="G48" s="133"/>
      <c r="H48" s="134"/>
      <c r="I48" s="133"/>
      <c r="J48" s="133"/>
      <c r="K48" s="133"/>
      <c r="L48" s="133"/>
      <c r="M48" s="133"/>
    </row>
    <row r="49" spans="2:13" ht="12.75">
      <c r="B49" s="132" t="s">
        <v>113</v>
      </c>
      <c r="C49" s="133"/>
      <c r="D49" s="133"/>
      <c r="E49" s="133"/>
      <c r="F49" s="133"/>
      <c r="G49" s="133"/>
      <c r="H49" s="134"/>
      <c r="I49" s="133"/>
      <c r="J49" s="133"/>
      <c r="K49" s="133"/>
      <c r="L49" s="133"/>
      <c r="M49" s="133"/>
    </row>
    <row r="50" spans="2:22" ht="12.75">
      <c r="B50" s="133" t="s">
        <v>118</v>
      </c>
      <c r="C50" s="133"/>
      <c r="D50" s="133"/>
      <c r="E50" s="133"/>
      <c r="F50" s="133"/>
      <c r="G50"/>
      <c r="H50" s="135">
        <v>50</v>
      </c>
      <c r="I50" s="133">
        <f aca="true" t="shared" si="4" ref="I50:M52">H50+I44</f>
        <v>50</v>
      </c>
      <c r="J50" s="133">
        <f t="shared" si="4"/>
        <v>50</v>
      </c>
      <c r="K50" s="133">
        <f t="shared" si="4"/>
        <v>50</v>
      </c>
      <c r="L50" s="133">
        <f t="shared" si="4"/>
        <v>50</v>
      </c>
      <c r="M50" s="133">
        <f t="shared" si="4"/>
        <v>50</v>
      </c>
      <c r="O50" s="140"/>
      <c r="P50" s="140"/>
      <c r="Q50" s="140"/>
      <c r="R50" s="140"/>
      <c r="S50" s="140"/>
      <c r="T50" s="140"/>
      <c r="U50" s="140"/>
      <c r="V50" s="9"/>
    </row>
    <row r="51" spans="2:22" ht="12.75">
      <c r="B51" s="133" t="s">
        <v>119</v>
      </c>
      <c r="C51" s="133"/>
      <c r="D51" s="133"/>
      <c r="E51" s="133"/>
      <c r="F51" s="133"/>
      <c r="G51"/>
      <c r="H51" s="135">
        <v>50</v>
      </c>
      <c r="I51" s="133">
        <f t="shared" si="4"/>
        <v>50</v>
      </c>
      <c r="J51" s="133">
        <f t="shared" si="4"/>
        <v>50</v>
      </c>
      <c r="K51" s="133">
        <f t="shared" si="4"/>
        <v>50</v>
      </c>
      <c r="L51" s="133">
        <f t="shared" si="4"/>
        <v>50</v>
      </c>
      <c r="M51" s="133">
        <f t="shared" si="4"/>
        <v>50</v>
      </c>
      <c r="O51" s="140"/>
      <c r="P51" s="140"/>
      <c r="Q51" s="140"/>
      <c r="R51" s="140"/>
      <c r="S51" s="140"/>
      <c r="T51" s="140"/>
      <c r="U51" s="140"/>
      <c r="V51" s="9"/>
    </row>
    <row r="52" spans="2:15" ht="12.75">
      <c r="B52" s="133" t="s">
        <v>120</v>
      </c>
      <c r="C52" s="133"/>
      <c r="D52" s="133"/>
      <c r="E52" s="133"/>
      <c r="F52" s="133"/>
      <c r="G52"/>
      <c r="H52" s="135">
        <v>50</v>
      </c>
      <c r="I52" s="133">
        <f t="shared" si="4"/>
        <v>50</v>
      </c>
      <c r="J52" s="133">
        <f t="shared" si="4"/>
        <v>50</v>
      </c>
      <c r="K52" s="133">
        <f t="shared" si="4"/>
        <v>50</v>
      </c>
      <c r="L52" s="133">
        <f t="shared" si="4"/>
        <v>50</v>
      </c>
      <c r="M52" s="133">
        <f t="shared" si="4"/>
        <v>50</v>
      </c>
      <c r="O52" s="140"/>
    </row>
    <row r="53" spans="2:15" ht="12.75">
      <c r="B53" s="133"/>
      <c r="C53" s="133"/>
      <c r="D53" s="133"/>
      <c r="E53" s="133"/>
      <c r="F53" s="133"/>
      <c r="G53" s="133"/>
      <c r="H53" s="135"/>
      <c r="I53" s="133"/>
      <c r="J53" s="133"/>
      <c r="K53" s="133"/>
      <c r="L53" s="133"/>
      <c r="M53" s="133"/>
      <c r="O53" s="140"/>
    </row>
    <row r="54" spans="2:8" ht="12.75">
      <c r="B54" s="5"/>
      <c r="H54" s="151" t="s">
        <v>11</v>
      </c>
    </row>
    <row r="55" spans="2:23" ht="12.75">
      <c r="B55" s="132" t="s">
        <v>115</v>
      </c>
      <c r="H55" s="151" t="s">
        <v>123</v>
      </c>
      <c r="O55"/>
      <c r="P55"/>
      <c r="Q55"/>
      <c r="R55"/>
      <c r="S55"/>
      <c r="T55"/>
      <c r="U55"/>
      <c r="V55"/>
      <c r="W55"/>
    </row>
    <row r="56" spans="2:24" ht="12.75">
      <c r="B56" s="133" t="s">
        <v>107</v>
      </c>
      <c r="H56" s="139">
        <v>10</v>
      </c>
      <c r="I56" s="140">
        <f aca="true" t="shared" si="5" ref="I56:M58">$H56*I$31*-I44*I$73</f>
        <v>0</v>
      </c>
      <c r="J56" s="140">
        <f t="shared" si="5"/>
        <v>0</v>
      </c>
      <c r="K56" s="140">
        <f t="shared" si="5"/>
        <v>0</v>
      </c>
      <c r="L56" s="140">
        <f t="shared" si="5"/>
        <v>0</v>
      </c>
      <c r="M56" s="140">
        <f t="shared" si="5"/>
        <v>0</v>
      </c>
      <c r="O56"/>
      <c r="P56"/>
      <c r="Q56"/>
      <c r="R56"/>
      <c r="S56"/>
      <c r="T56"/>
      <c r="U56"/>
      <c r="V56"/>
      <c r="W56"/>
      <c r="X56" s="150"/>
    </row>
    <row r="57" spans="2:24" ht="12.75">
      <c r="B57" s="133" t="s">
        <v>108</v>
      </c>
      <c r="H57" s="152">
        <f>H56-1</f>
        <v>9</v>
      </c>
      <c r="I57" s="141">
        <f t="shared" si="5"/>
        <v>0</v>
      </c>
      <c r="J57" s="141">
        <f t="shared" si="5"/>
        <v>0</v>
      </c>
      <c r="K57" s="141">
        <f t="shared" si="5"/>
        <v>0</v>
      </c>
      <c r="L57" s="141">
        <f t="shared" si="5"/>
        <v>0</v>
      </c>
      <c r="M57" s="141">
        <f t="shared" si="5"/>
        <v>0</v>
      </c>
      <c r="O57"/>
      <c r="P57"/>
      <c r="Q57"/>
      <c r="R57"/>
      <c r="S57"/>
      <c r="T57"/>
      <c r="U57"/>
      <c r="V57"/>
      <c r="W57"/>
      <c r="X57" s="150"/>
    </row>
    <row r="58" spans="2:24" ht="12.75">
      <c r="B58" s="142" t="s">
        <v>109</v>
      </c>
      <c r="C58" s="10"/>
      <c r="D58" s="10"/>
      <c r="E58" s="10"/>
      <c r="F58" s="10"/>
      <c r="G58" s="10"/>
      <c r="H58" s="153">
        <f>H57-1</f>
        <v>8</v>
      </c>
      <c r="I58" s="143">
        <f t="shared" si="5"/>
        <v>0</v>
      </c>
      <c r="J58" s="143">
        <f t="shared" si="5"/>
        <v>0</v>
      </c>
      <c r="K58" s="143">
        <f t="shared" si="5"/>
        <v>0</v>
      </c>
      <c r="L58" s="143">
        <f t="shared" si="5"/>
        <v>0</v>
      </c>
      <c r="M58" s="143">
        <f t="shared" si="5"/>
        <v>0</v>
      </c>
      <c r="O58"/>
      <c r="P58"/>
      <c r="Q58"/>
      <c r="R58"/>
      <c r="S58"/>
      <c r="T58"/>
      <c r="U58"/>
      <c r="V58"/>
      <c r="W58"/>
      <c r="X58" s="150"/>
    </row>
    <row r="59" spans="2:14" ht="13.5" thickBot="1">
      <c r="B59" s="144" t="s">
        <v>116</v>
      </c>
      <c r="C59" s="4"/>
      <c r="D59" s="4"/>
      <c r="E59" s="4"/>
      <c r="F59" s="4"/>
      <c r="G59" s="4"/>
      <c r="H59" s="145"/>
      <c r="I59" s="116">
        <f>SUM(I56:I58)</f>
        <v>0</v>
      </c>
      <c r="J59" s="116">
        <f>SUM(J56:J58)</f>
        <v>0</v>
      </c>
      <c r="K59" s="116">
        <f>SUM(K56:K58)</f>
        <v>0</v>
      </c>
      <c r="L59" s="116">
        <f>SUM(L56:L58)</f>
        <v>0</v>
      </c>
      <c r="M59" s="116">
        <f>SUM(M56:M58)</f>
        <v>0</v>
      </c>
      <c r="N59" s="4"/>
    </row>
    <row r="60" spans="2:15" ht="12.75">
      <c r="B60" s="69" t="s">
        <v>121</v>
      </c>
      <c r="C60" s="8"/>
      <c r="D60" s="8"/>
      <c r="E60" s="8"/>
      <c r="F60" s="8"/>
      <c r="G60" s="8"/>
      <c r="H60" s="148"/>
      <c r="I60" s="149"/>
      <c r="J60" s="149"/>
      <c r="K60" s="149"/>
      <c r="L60" s="149"/>
      <c r="M60" s="149"/>
      <c r="N60" s="8"/>
      <c r="O60" s="140"/>
    </row>
    <row r="61" spans="2:15" ht="12.75">
      <c r="B61" s="69"/>
      <c r="C61" s="8"/>
      <c r="D61" s="8"/>
      <c r="E61" s="8"/>
      <c r="F61" s="8"/>
      <c r="G61" s="8"/>
      <c r="H61" s="148"/>
      <c r="I61" s="149"/>
      <c r="J61" s="149"/>
      <c r="K61" s="149"/>
      <c r="L61" s="149"/>
      <c r="M61" s="149"/>
      <c r="N61" s="8"/>
      <c r="O61" s="140"/>
    </row>
    <row r="62" spans="2:14" ht="12.75">
      <c r="B62" s="69"/>
      <c r="C62" s="8"/>
      <c r="D62" s="8"/>
      <c r="E62" s="8"/>
      <c r="F62" s="8"/>
      <c r="G62" s="8"/>
      <c r="H62" s="148"/>
      <c r="I62" s="149"/>
      <c r="J62" s="149"/>
      <c r="K62" s="149"/>
      <c r="L62" s="149"/>
      <c r="M62" s="149"/>
      <c r="N62" s="8"/>
    </row>
    <row r="63" ht="12.75">
      <c r="B63" s="5"/>
    </row>
    <row r="64" ht="13.5">
      <c r="B64" s="50" t="s">
        <v>33</v>
      </c>
    </row>
    <row r="65" spans="2:14" ht="14.25" thickBot="1">
      <c r="B65" s="3"/>
      <c r="C65" s="4"/>
      <c r="D65" s="4"/>
      <c r="E65" s="4"/>
      <c r="F65" s="4"/>
      <c r="G65" s="4"/>
      <c r="H65" s="4"/>
      <c r="I65" s="4"/>
      <c r="J65" s="4"/>
      <c r="K65" s="4"/>
      <c r="L65" s="4"/>
      <c r="M65" s="4"/>
      <c r="N65" s="4"/>
    </row>
    <row r="66" spans="2:14" ht="13.5">
      <c r="B66" s="5" t="str">
        <f>'Case Manager'!$K$6</f>
        <v>For the FYE January 31</v>
      </c>
      <c r="F66" s="12" t="str">
        <f>'Consolidated Financial Results'!$F$7</f>
        <v>Actual</v>
      </c>
      <c r="G66" s="13"/>
      <c r="H66" s="53"/>
      <c r="I66" s="12" t="str">
        <f>'Consolidated Financial Results'!$I$7</f>
        <v>Projected</v>
      </c>
      <c r="J66" s="12"/>
      <c r="K66" s="12"/>
      <c r="L66" s="13"/>
      <c r="M66" s="6"/>
      <c r="N66" s="33"/>
    </row>
    <row r="67" spans="2:14" ht="12.75">
      <c r="B67" s="7"/>
      <c r="C67" s="7"/>
      <c r="D67" s="7"/>
      <c r="E67" s="7"/>
      <c r="F67" s="15">
        <f>'Consolidated Financial Results'!$F$8</f>
        <v>2003</v>
      </c>
      <c r="G67" s="15">
        <f>'Consolidated Financial Results'!$G$8</f>
        <v>2004</v>
      </c>
      <c r="H67" s="16">
        <f>'Consolidated Financial Results'!$H$8</f>
        <v>2005</v>
      </c>
      <c r="I67" s="15">
        <f>'Consolidated Financial Results'!$I$8</f>
        <v>2006</v>
      </c>
      <c r="J67" s="15">
        <f>'Consolidated Financial Results'!$J$8</f>
        <v>2007</v>
      </c>
      <c r="K67" s="15">
        <f>'Consolidated Financial Results'!$K$8</f>
        <v>2008</v>
      </c>
      <c r="L67" s="15">
        <f>'Consolidated Financial Results'!$L$8</f>
        <v>2009</v>
      </c>
      <c r="M67" s="32">
        <f>'Consolidated Financial Results'!$M$8</f>
        <v>2010</v>
      </c>
      <c r="N67" s="34"/>
    </row>
    <row r="68" spans="2:13" ht="12.75">
      <c r="B68" s="1" t="str">
        <f>'Case Manager'!$B$59</f>
        <v>Base Case</v>
      </c>
      <c r="F68" s="51"/>
      <c r="G68" s="51"/>
      <c r="H68" s="54"/>
      <c r="I68" s="60">
        <v>0.052752293577981654</v>
      </c>
      <c r="J68" s="60">
        <v>0.052752293577981654</v>
      </c>
      <c r="K68" s="60">
        <v>0.052752293577981654</v>
      </c>
      <c r="L68" s="60">
        <v>0.052752293577981654</v>
      </c>
      <c r="M68" s="60">
        <v>0.052752293577981654</v>
      </c>
    </row>
    <row r="69" spans="2:13" ht="12.75">
      <c r="B69" s="1" t="str">
        <f>'Case Manager'!$B$60</f>
        <v>Upside Case</v>
      </c>
      <c r="F69" s="51"/>
      <c r="G69" s="51"/>
      <c r="H69" s="54"/>
      <c r="I69" s="60">
        <v>0.052752293577981654</v>
      </c>
      <c r="J69" s="60">
        <v>0.052752293577981654</v>
      </c>
      <c r="K69" s="60">
        <v>0.052752293577981654</v>
      </c>
      <c r="L69" s="60">
        <v>0.052752293577981654</v>
      </c>
      <c r="M69" s="60">
        <v>0.052752293577981654</v>
      </c>
    </row>
    <row r="70" spans="2:13" ht="12.75">
      <c r="B70" s="1" t="str">
        <f>'Case Manager'!$B$61</f>
        <v>Downside Case</v>
      </c>
      <c r="F70" s="51"/>
      <c r="G70" s="51"/>
      <c r="H70" s="54"/>
      <c r="I70" s="60">
        <v>0.052752293577981654</v>
      </c>
      <c r="J70" s="60">
        <v>0.052752293577981654</v>
      </c>
      <c r="K70" s="60">
        <v>0.052752293577981654</v>
      </c>
      <c r="L70" s="60">
        <v>0.052752293577981654</v>
      </c>
      <c r="M70" s="60">
        <v>0.052752293577981654</v>
      </c>
    </row>
    <row r="71" spans="2:13" ht="12.75">
      <c r="B71" s="1" t="str">
        <f>'Case Manager'!$B$62</f>
        <v>Open Case #1</v>
      </c>
      <c r="F71" s="51"/>
      <c r="G71" s="51"/>
      <c r="H71" s="54"/>
      <c r="I71" s="60">
        <v>0.052752293577981654</v>
      </c>
      <c r="J71" s="60">
        <v>0.052752293577981654</v>
      </c>
      <c r="K71" s="60">
        <v>0.052752293577981654</v>
      </c>
      <c r="L71" s="60">
        <v>0.052752293577981654</v>
      </c>
      <c r="M71" s="60">
        <v>0.052752293577981654</v>
      </c>
    </row>
    <row r="72" spans="2:14" ht="12.75">
      <c r="B72" s="10" t="str">
        <f>'Case Manager'!$B$63</f>
        <v>Open Case #2</v>
      </c>
      <c r="C72" s="10"/>
      <c r="D72" s="10"/>
      <c r="E72" s="10"/>
      <c r="F72" s="52"/>
      <c r="G72" s="52"/>
      <c r="H72" s="55"/>
      <c r="I72" s="61">
        <v>0.052752293577981654</v>
      </c>
      <c r="J72" s="61">
        <v>0.052752293577981654</v>
      </c>
      <c r="K72" s="61">
        <v>0.052752293577981654</v>
      </c>
      <c r="L72" s="61">
        <v>0.052752293577981654</v>
      </c>
      <c r="M72" s="61">
        <v>0.052752293577981654</v>
      </c>
      <c r="N72" s="10"/>
    </row>
    <row r="73" spans="2:13" ht="12.75">
      <c r="B73" s="1" t="str">
        <f>CHOOSE('Case Manager'!$G$65,'Toys R Us Domestic'!B68,'Toys R Us Domestic'!B69,'Toys R Us Domestic'!B70,'Toys R Us Domestic'!B71,'Toys R Us Domestic'!B72)</f>
        <v>Base Case</v>
      </c>
      <c r="F73" s="9">
        <f>F75/F$33</f>
        <v>0.06617320503330866</v>
      </c>
      <c r="G73" s="9">
        <f>G75/G$33</f>
        <v>0.041732532405943726</v>
      </c>
      <c r="H73" s="27">
        <f>H75/H$33</f>
        <v>0.052752293577981654</v>
      </c>
      <c r="I73" s="9">
        <f>CHOOSE('Case Manager'!$G$65,'Toys R Us Domestic'!I68,'Toys R Us Domestic'!I69,'Toys R Us Domestic'!I70,'Toys R Us Domestic'!I71,'Toys R Us Domestic'!I72)</f>
        <v>0.052752293577981654</v>
      </c>
      <c r="J73" s="9">
        <f>CHOOSE('Case Manager'!$G$65,'Toys R Us Domestic'!J68,'Toys R Us Domestic'!J69,'Toys R Us Domestic'!J70,'Toys R Us Domestic'!J71,'Toys R Us Domestic'!J72)</f>
        <v>0.052752293577981654</v>
      </c>
      <c r="K73" s="9">
        <f>CHOOSE('Case Manager'!$G$65,'Toys R Us Domestic'!K68,'Toys R Us Domestic'!K69,'Toys R Us Domestic'!K70,'Toys R Us Domestic'!K71,'Toys R Us Domestic'!K72)</f>
        <v>0.052752293577981654</v>
      </c>
      <c r="L73" s="9">
        <f>CHOOSE('Case Manager'!$G$65,'Toys R Us Domestic'!L68,'Toys R Us Domestic'!L69,'Toys R Us Domestic'!L70,'Toys R Us Domestic'!L71,'Toys R Us Domestic'!L72)</f>
        <v>0.052752293577981654</v>
      </c>
      <c r="M73" s="9">
        <f>CHOOSE('Case Manager'!$G$65,'Toys R Us Domestic'!M68,'Toys R Us Domestic'!M69,'Toys R Us Domestic'!M70,'Toys R Us Domestic'!M71,'Toys R Us Domestic'!M72)</f>
        <v>0.052752293577981654</v>
      </c>
    </row>
    <row r="74" spans="6:13" ht="12.75">
      <c r="F74" s="9"/>
      <c r="G74" s="9"/>
      <c r="H74" s="27"/>
      <c r="I74" s="9"/>
      <c r="J74" s="9"/>
      <c r="K74" s="9"/>
      <c r="L74" s="9"/>
      <c r="M74" s="9"/>
    </row>
    <row r="75" spans="2:14" ht="13.5" thickBot="1">
      <c r="B75" s="58" t="s">
        <v>11</v>
      </c>
      <c r="C75" s="4"/>
      <c r="D75" s="4"/>
      <c r="E75" s="4"/>
      <c r="F75" s="56">
        <v>447</v>
      </c>
      <c r="G75" s="56">
        <v>264</v>
      </c>
      <c r="H75" s="59">
        <v>322</v>
      </c>
      <c r="I75" s="57">
        <f>I73*I33</f>
        <v>321.0571010248902</v>
      </c>
      <c r="J75" s="57">
        <f>J73*J33</f>
        <v>321.0571010248902</v>
      </c>
      <c r="K75" s="57">
        <f>K73*K33</f>
        <v>321.0571010248902</v>
      </c>
      <c r="L75" s="57">
        <f>L73*L33</f>
        <v>321.0571010248902</v>
      </c>
      <c r="M75" s="57">
        <f>M73*M33</f>
        <v>321.0571010248902</v>
      </c>
      <c r="N75" s="4"/>
    </row>
    <row r="76" ht="12.75">
      <c r="B76" s="5"/>
    </row>
    <row r="77" ht="13.5">
      <c r="B77" s="50" t="s">
        <v>34</v>
      </c>
    </row>
    <row r="78" spans="2:14" ht="14.25" thickBot="1">
      <c r="B78" s="3"/>
      <c r="C78" s="4"/>
      <c r="D78" s="4"/>
      <c r="E78" s="4"/>
      <c r="F78" s="4"/>
      <c r="G78" s="4"/>
      <c r="H78" s="4"/>
      <c r="I78" s="4"/>
      <c r="J78" s="4"/>
      <c r="K78" s="4"/>
      <c r="L78" s="4"/>
      <c r="M78" s="4"/>
      <c r="N78" s="4"/>
    </row>
    <row r="79" spans="2:14" ht="13.5">
      <c r="B79" s="5" t="str">
        <f>'Case Manager'!$K$6</f>
        <v>For the FYE January 31</v>
      </c>
      <c r="F79" s="12" t="str">
        <f>'Consolidated Financial Results'!$F$7</f>
        <v>Actual</v>
      </c>
      <c r="G79" s="13"/>
      <c r="H79" s="53"/>
      <c r="I79" s="12" t="str">
        <f>'Consolidated Financial Results'!$I$7</f>
        <v>Projected</v>
      </c>
      <c r="J79" s="12"/>
      <c r="K79" s="12"/>
      <c r="L79" s="13"/>
      <c r="M79" s="6"/>
      <c r="N79" s="33"/>
    </row>
    <row r="80" spans="2:14" ht="12.75">
      <c r="B80" s="7"/>
      <c r="C80" s="7"/>
      <c r="D80" s="7"/>
      <c r="E80" s="7"/>
      <c r="F80" s="15">
        <f>'Consolidated Financial Results'!$F$8</f>
        <v>2003</v>
      </c>
      <c r="G80" s="15">
        <f>'Consolidated Financial Results'!$G$8</f>
        <v>2004</v>
      </c>
      <c r="H80" s="16">
        <f>'Consolidated Financial Results'!$H$8</f>
        <v>2005</v>
      </c>
      <c r="I80" s="15">
        <f>'Consolidated Financial Results'!$I$8</f>
        <v>2006</v>
      </c>
      <c r="J80" s="15">
        <f>'Consolidated Financial Results'!$J$8</f>
        <v>2007</v>
      </c>
      <c r="K80" s="15">
        <f>'Consolidated Financial Results'!$K$8</f>
        <v>2008</v>
      </c>
      <c r="L80" s="15">
        <f>'Consolidated Financial Results'!$L$8</f>
        <v>2009</v>
      </c>
      <c r="M80" s="32">
        <f>'Consolidated Financial Results'!$M$8</f>
        <v>2010</v>
      </c>
      <c r="N80" s="34"/>
    </row>
    <row r="81" spans="2:13" ht="12.75">
      <c r="B81" s="1" t="str">
        <f>'Case Manager'!$B$59</f>
        <v>Base Case</v>
      </c>
      <c r="F81" s="51"/>
      <c r="G81" s="51"/>
      <c r="H81" s="54"/>
      <c r="I81" s="60">
        <v>0.0327653997378768</v>
      </c>
      <c r="J81" s="60">
        <v>0.0327653997378768</v>
      </c>
      <c r="K81" s="60">
        <v>0.0327653997378768</v>
      </c>
      <c r="L81" s="60">
        <v>0.0327653997378768</v>
      </c>
      <c r="M81" s="60">
        <v>0.0327653997378768</v>
      </c>
    </row>
    <row r="82" spans="2:13" ht="12.75">
      <c r="B82" s="1" t="str">
        <f>'Case Manager'!$B$60</f>
        <v>Upside Case</v>
      </c>
      <c r="F82" s="51"/>
      <c r="G82" s="51"/>
      <c r="H82" s="54"/>
      <c r="I82" s="60">
        <v>0.0327653997378768</v>
      </c>
      <c r="J82" s="60">
        <v>0.0327653997378768</v>
      </c>
      <c r="K82" s="60">
        <v>0.0327653997378768</v>
      </c>
      <c r="L82" s="60">
        <v>0.0327653997378768</v>
      </c>
      <c r="M82" s="60">
        <v>0.0327653997378768</v>
      </c>
    </row>
    <row r="83" spans="2:13" ht="12.75">
      <c r="B83" s="1" t="str">
        <f>'Case Manager'!$B$61</f>
        <v>Downside Case</v>
      </c>
      <c r="F83" s="51"/>
      <c r="G83" s="51"/>
      <c r="H83" s="54"/>
      <c r="I83" s="60">
        <v>0.0327653997378768</v>
      </c>
      <c r="J83" s="60">
        <v>0.0327653997378768</v>
      </c>
      <c r="K83" s="60">
        <v>0.0327653997378768</v>
      </c>
      <c r="L83" s="60">
        <v>0.0327653997378768</v>
      </c>
      <c r="M83" s="60">
        <v>0.0327653997378768</v>
      </c>
    </row>
    <row r="84" spans="2:13" ht="12.75">
      <c r="B84" s="1" t="str">
        <f>'Case Manager'!$B$62</f>
        <v>Open Case #1</v>
      </c>
      <c r="F84" s="51"/>
      <c r="G84" s="51"/>
      <c r="H84" s="54"/>
      <c r="I84" s="60">
        <v>0.0327653997378768</v>
      </c>
      <c r="J84" s="60">
        <v>0.0327653997378768</v>
      </c>
      <c r="K84" s="60">
        <v>0.0327653997378768</v>
      </c>
      <c r="L84" s="60">
        <v>0.0327653997378768</v>
      </c>
      <c r="M84" s="60">
        <v>0.0327653997378768</v>
      </c>
    </row>
    <row r="85" spans="2:14" ht="12.75">
      <c r="B85" s="10" t="str">
        <f>'Case Manager'!$B$63</f>
        <v>Open Case #2</v>
      </c>
      <c r="C85" s="10"/>
      <c r="D85" s="10"/>
      <c r="E85" s="10"/>
      <c r="F85" s="52"/>
      <c r="G85" s="52"/>
      <c r="H85" s="55"/>
      <c r="I85" s="61">
        <v>0.0327653997378768</v>
      </c>
      <c r="J85" s="61">
        <v>0.0327653997378768</v>
      </c>
      <c r="K85" s="61">
        <v>0.0327653997378768</v>
      </c>
      <c r="L85" s="61">
        <v>0.0327653997378768</v>
      </c>
      <c r="M85" s="61">
        <v>0.0327653997378768</v>
      </c>
      <c r="N85" s="10"/>
    </row>
    <row r="86" spans="2:13" ht="12.75">
      <c r="B86" s="1" t="str">
        <f>CHOOSE('Case Manager'!$G$65,'Toys R Us Domestic'!B81,'Toys R Us Domestic'!B82,'Toys R Us Domestic'!B83,'Toys R Us Domestic'!B84,'Toys R Us Domestic'!B85)</f>
        <v>Base Case</v>
      </c>
      <c r="F86" s="9">
        <f>F88/F$33</f>
        <v>0.02827535159141377</v>
      </c>
      <c r="G86" s="9">
        <f>G88/G$33</f>
        <v>0.03066708820739804</v>
      </c>
      <c r="H86" s="27">
        <f>H88/H$33</f>
        <v>0.0327653997378768</v>
      </c>
      <c r="I86" s="9">
        <f>CHOOSE('Case Manager'!$G$65,'Toys R Us Domestic'!I81,'Toys R Us Domestic'!I82,'Toys R Us Domestic'!I83,'Toys R Us Domestic'!I84,'Toys R Us Domestic'!I85)</f>
        <v>0.0327653997378768</v>
      </c>
      <c r="J86" s="9">
        <f>CHOOSE('Case Manager'!$G$65,'Toys R Us Domestic'!J81,'Toys R Us Domestic'!J82,'Toys R Us Domestic'!J83,'Toys R Us Domestic'!J84,'Toys R Us Domestic'!J85)</f>
        <v>0.0327653997378768</v>
      </c>
      <c r="K86" s="9">
        <f>CHOOSE('Case Manager'!$G$65,'Toys R Us Domestic'!K81,'Toys R Us Domestic'!K82,'Toys R Us Domestic'!K83,'Toys R Us Domestic'!K84,'Toys R Us Domestic'!K85)</f>
        <v>0.0327653997378768</v>
      </c>
      <c r="L86" s="9">
        <f>CHOOSE('Case Manager'!$G$65,'Toys R Us Domestic'!L81,'Toys R Us Domestic'!L82,'Toys R Us Domestic'!L83,'Toys R Us Domestic'!L84,'Toys R Us Domestic'!L85)</f>
        <v>0.0327653997378768</v>
      </c>
      <c r="M86" s="9">
        <f>CHOOSE('Case Manager'!$G$65,'Toys R Us Domestic'!M81,'Toys R Us Domestic'!M82,'Toys R Us Domestic'!M83,'Toys R Us Domestic'!M84,'Toys R Us Domestic'!M85)</f>
        <v>0.0327653997378768</v>
      </c>
    </row>
    <row r="87" spans="6:13" ht="12.75">
      <c r="F87" s="9"/>
      <c r="G87" s="9"/>
      <c r="H87" s="27"/>
      <c r="I87" s="9"/>
      <c r="J87" s="9"/>
      <c r="K87" s="9"/>
      <c r="L87" s="9"/>
      <c r="M87" s="9"/>
    </row>
    <row r="88" spans="2:14" ht="13.5" thickBot="1">
      <c r="B88" s="58" t="s">
        <v>35</v>
      </c>
      <c r="C88" s="4"/>
      <c r="D88" s="4"/>
      <c r="E88" s="4"/>
      <c r="F88" s="56">
        <v>191</v>
      </c>
      <c r="G88" s="56">
        <v>194</v>
      </c>
      <c r="H88" s="59">
        <v>200</v>
      </c>
      <c r="I88" s="57">
        <f>I86*I33</f>
        <v>199.41434846266472</v>
      </c>
      <c r="J88" s="57">
        <f>J86*J33</f>
        <v>199.41434846266472</v>
      </c>
      <c r="K88" s="57">
        <f>K86*K33</f>
        <v>199.41434846266472</v>
      </c>
      <c r="L88" s="57">
        <f>L86*L33</f>
        <v>199.41434846266472</v>
      </c>
      <c r="M88" s="57">
        <f>M86*M33</f>
        <v>199.41434846266472</v>
      </c>
      <c r="N88" s="4"/>
    </row>
    <row r="89" ht="12.75">
      <c r="B89" s="5"/>
    </row>
    <row r="90" ht="13.5">
      <c r="B90" s="2" t="str">
        <f>B2</f>
        <v>Toys R Us Domestic</v>
      </c>
    </row>
    <row r="91" ht="12.75">
      <c r="B91" s="5"/>
    </row>
    <row r="92" ht="13.5">
      <c r="B92" s="2" t="str">
        <f>'Case Manager'!$D$65</f>
        <v>Base Case</v>
      </c>
    </row>
    <row r="93" spans="2:14" ht="14.25" thickBot="1">
      <c r="B93" s="3"/>
      <c r="C93" s="4"/>
      <c r="D93" s="4"/>
      <c r="E93" s="4"/>
      <c r="F93" s="4"/>
      <c r="G93" s="4"/>
      <c r="H93" s="4"/>
      <c r="I93" s="4"/>
      <c r="J93" s="4"/>
      <c r="K93" s="4"/>
      <c r="L93" s="4"/>
      <c r="M93" s="4"/>
      <c r="N93" s="4"/>
    </row>
    <row r="94" spans="2:14" ht="13.5">
      <c r="B94" s="5" t="str">
        <f>'Case Manager'!$K$6</f>
        <v>For the FYE January 31</v>
      </c>
      <c r="F94" s="12" t="str">
        <f>'Consolidated Financial Results'!F7</f>
        <v>Actual</v>
      </c>
      <c r="G94" s="13"/>
      <c r="H94" s="14"/>
      <c r="I94" s="12" t="str">
        <f>'Consolidated Financial Results'!I7</f>
        <v>Projected</v>
      </c>
      <c r="J94" s="12"/>
      <c r="K94" s="12"/>
      <c r="L94" s="13"/>
      <c r="M94" s="6"/>
      <c r="N94" s="33" t="str">
        <f>'Consolidated Financial Results'!N7</f>
        <v>CAGR</v>
      </c>
    </row>
    <row r="95" spans="2:14" ht="12.75">
      <c r="B95" s="7"/>
      <c r="C95" s="7"/>
      <c r="D95" s="7"/>
      <c r="E95" s="7"/>
      <c r="F95" s="15">
        <f>'Consolidated Financial Results'!F8</f>
        <v>2003</v>
      </c>
      <c r="G95" s="15">
        <f>'Consolidated Financial Results'!G8</f>
        <v>2004</v>
      </c>
      <c r="H95" s="16">
        <f>'Consolidated Financial Results'!H8</f>
        <v>2005</v>
      </c>
      <c r="I95" s="15">
        <f>'Consolidated Financial Results'!I8</f>
        <v>2006</v>
      </c>
      <c r="J95" s="15">
        <f>'Consolidated Financial Results'!J8</f>
        <v>2007</v>
      </c>
      <c r="K95" s="15">
        <f>'Consolidated Financial Results'!K8</f>
        <v>2008</v>
      </c>
      <c r="L95" s="15">
        <f>'Consolidated Financial Results'!L8</f>
        <v>2009</v>
      </c>
      <c r="M95" s="32">
        <f>'Consolidated Financial Results'!M8</f>
        <v>2010</v>
      </c>
      <c r="N95" s="34" t="str">
        <f>'Consolidated Financial Results'!N8</f>
        <v>'05-'10</v>
      </c>
    </row>
    <row r="96" spans="2:14" ht="12.75">
      <c r="B96" s="8" t="s">
        <v>97</v>
      </c>
      <c r="C96" s="8"/>
      <c r="D96" s="8"/>
      <c r="E96" s="8"/>
      <c r="F96" s="117">
        <f>F16</f>
        <v>701</v>
      </c>
      <c r="G96" s="117">
        <f aca="true" t="shared" si="6" ref="G96:M96">G16</f>
        <v>685</v>
      </c>
      <c r="H96" s="119">
        <f t="shared" si="6"/>
        <v>685</v>
      </c>
      <c r="I96" s="117">
        <f t="shared" si="6"/>
        <v>681</v>
      </c>
      <c r="J96" s="117">
        <f t="shared" si="6"/>
        <v>681</v>
      </c>
      <c r="K96" s="117">
        <f t="shared" si="6"/>
        <v>681</v>
      </c>
      <c r="L96" s="117">
        <f t="shared" si="6"/>
        <v>681</v>
      </c>
      <c r="M96" s="117">
        <f t="shared" si="6"/>
        <v>681</v>
      </c>
      <c r="N96" s="102"/>
    </row>
    <row r="97" spans="2:14" ht="12.75">
      <c r="B97" s="10" t="s">
        <v>92</v>
      </c>
      <c r="C97" s="10"/>
      <c r="D97" s="10"/>
      <c r="E97" s="10"/>
      <c r="F97" s="120">
        <f aca="true" t="shared" si="7" ref="F97:M98">F17</f>
        <v>16</v>
      </c>
      <c r="G97" s="120">
        <f t="shared" si="7"/>
        <v>0</v>
      </c>
      <c r="H97" s="121">
        <f t="shared" si="7"/>
        <v>4</v>
      </c>
      <c r="I97" s="120">
        <f t="shared" si="7"/>
        <v>0</v>
      </c>
      <c r="J97" s="120">
        <f t="shared" si="7"/>
        <v>0</v>
      </c>
      <c r="K97" s="120">
        <f t="shared" si="7"/>
        <v>0</v>
      </c>
      <c r="L97" s="120">
        <f t="shared" si="7"/>
        <v>0</v>
      </c>
      <c r="M97" s="120">
        <f t="shared" si="7"/>
        <v>0</v>
      </c>
      <c r="N97" s="118"/>
    </row>
    <row r="98" spans="2:14" ht="12.75">
      <c r="B98" s="8" t="s">
        <v>98</v>
      </c>
      <c r="C98" s="8"/>
      <c r="D98" s="8"/>
      <c r="E98" s="8"/>
      <c r="F98" s="117">
        <f t="shared" si="7"/>
        <v>685</v>
      </c>
      <c r="G98" s="117">
        <f t="shared" si="7"/>
        <v>685</v>
      </c>
      <c r="H98" s="119">
        <f t="shared" si="7"/>
        <v>681</v>
      </c>
      <c r="I98" s="117">
        <f t="shared" si="7"/>
        <v>681</v>
      </c>
      <c r="J98" s="117">
        <f t="shared" si="7"/>
        <v>681</v>
      </c>
      <c r="K98" s="117">
        <f t="shared" si="7"/>
        <v>681</v>
      </c>
      <c r="L98" s="117">
        <f t="shared" si="7"/>
        <v>681</v>
      </c>
      <c r="M98" s="117">
        <f t="shared" si="7"/>
        <v>681</v>
      </c>
      <c r="N98" s="102"/>
    </row>
    <row r="99" spans="2:14" ht="12.75">
      <c r="B99" s="8"/>
      <c r="C99" s="8"/>
      <c r="D99" s="8"/>
      <c r="E99" s="8"/>
      <c r="F99" s="100"/>
      <c r="G99" s="100"/>
      <c r="H99" s="101"/>
      <c r="I99" s="100"/>
      <c r="J99" s="100"/>
      <c r="K99" s="100"/>
      <c r="L99" s="100"/>
      <c r="M99" s="100"/>
      <c r="N99" s="102"/>
    </row>
    <row r="100" spans="2:14" ht="12.75">
      <c r="B100" s="8" t="s">
        <v>99</v>
      </c>
      <c r="C100" s="8"/>
      <c r="D100" s="8"/>
      <c r="E100" s="8"/>
      <c r="F100" s="117">
        <f>AVERAGE(F96,F98)</f>
        <v>693</v>
      </c>
      <c r="G100" s="117">
        <f aca="true" t="shared" si="8" ref="G100:M100">AVERAGE(G96,G98)</f>
        <v>685</v>
      </c>
      <c r="H100" s="119">
        <f t="shared" si="8"/>
        <v>683</v>
      </c>
      <c r="I100" s="117">
        <f t="shared" si="8"/>
        <v>681</v>
      </c>
      <c r="J100" s="117">
        <f t="shared" si="8"/>
        <v>681</v>
      </c>
      <c r="K100" s="117">
        <f t="shared" si="8"/>
        <v>681</v>
      </c>
      <c r="L100" s="117">
        <f t="shared" si="8"/>
        <v>681</v>
      </c>
      <c r="M100" s="117">
        <f t="shared" si="8"/>
        <v>681</v>
      </c>
      <c r="N100" s="102"/>
    </row>
    <row r="101" spans="2:14" ht="12.75">
      <c r="B101" s="8"/>
      <c r="C101" s="8"/>
      <c r="D101" s="8"/>
      <c r="E101" s="8"/>
      <c r="F101" s="100"/>
      <c r="G101" s="100"/>
      <c r="H101" s="101"/>
      <c r="I101" s="100"/>
      <c r="J101" s="100"/>
      <c r="K101" s="100"/>
      <c r="L101" s="100"/>
      <c r="M101" s="100"/>
      <c r="N101" s="102"/>
    </row>
    <row r="102" spans="2:14" ht="12.75">
      <c r="B102" s="8" t="s">
        <v>100</v>
      </c>
      <c r="C102" s="8"/>
      <c r="D102" s="8"/>
      <c r="E102" s="8"/>
      <c r="F102" s="122">
        <f>F31</f>
        <v>9.747474747474747</v>
      </c>
      <c r="G102" s="122">
        <f aca="true" t="shared" si="9" ref="G102:M102">G31</f>
        <v>9.235036496350364</v>
      </c>
      <c r="H102" s="123">
        <f t="shared" si="9"/>
        <v>8.937042459736457</v>
      </c>
      <c r="I102" s="122">
        <f t="shared" si="9"/>
        <v>8.937042459736457</v>
      </c>
      <c r="J102" s="122">
        <f t="shared" si="9"/>
        <v>8.937042459736457</v>
      </c>
      <c r="K102" s="122">
        <f t="shared" si="9"/>
        <v>8.937042459736457</v>
      </c>
      <c r="L102" s="122">
        <f t="shared" si="9"/>
        <v>8.937042459736457</v>
      </c>
      <c r="M102" s="122">
        <f t="shared" si="9"/>
        <v>8.937042459736457</v>
      </c>
      <c r="N102" s="78">
        <f>(M102/H102)^(1/5)-1</f>
        <v>0</v>
      </c>
    </row>
    <row r="103" spans="2:14" ht="12.75">
      <c r="B103" s="8" t="s">
        <v>94</v>
      </c>
      <c r="C103" s="8"/>
      <c r="D103" s="8"/>
      <c r="E103" s="8"/>
      <c r="F103" s="100"/>
      <c r="G103" s="124">
        <f>G29</f>
        <v>-0.0525713853485118</v>
      </c>
      <c r="H103" s="125">
        <f aca="true" t="shared" si="10" ref="H103:M103">H29</f>
        <v>-0.03226777032572348</v>
      </c>
      <c r="I103" s="124">
        <f t="shared" si="10"/>
        <v>0</v>
      </c>
      <c r="J103" s="124">
        <f t="shared" si="10"/>
        <v>0</v>
      </c>
      <c r="K103" s="124">
        <f t="shared" si="10"/>
        <v>0</v>
      </c>
      <c r="L103" s="124">
        <f t="shared" si="10"/>
        <v>0</v>
      </c>
      <c r="M103" s="124">
        <f t="shared" si="10"/>
        <v>0</v>
      </c>
      <c r="N103" s="102"/>
    </row>
    <row r="104" spans="2:14" ht="12.75">
      <c r="B104" s="8"/>
      <c r="C104" s="8"/>
      <c r="D104" s="8"/>
      <c r="E104" s="8"/>
      <c r="F104" s="100"/>
      <c r="G104" s="100"/>
      <c r="H104" s="101"/>
      <c r="I104" s="100"/>
      <c r="J104" s="100"/>
      <c r="K104" s="100"/>
      <c r="L104" s="100"/>
      <c r="M104" s="100"/>
      <c r="N104" s="102"/>
    </row>
    <row r="105" spans="2:14" ht="12.75">
      <c r="B105" s="8" t="s">
        <v>106</v>
      </c>
      <c r="C105" s="8"/>
      <c r="D105" s="8"/>
      <c r="E105" s="8"/>
      <c r="F105" s="100"/>
      <c r="G105" s="100"/>
      <c r="H105" s="119">
        <f aca="true" t="shared" si="11" ref="H105:M105">H41</f>
        <v>315</v>
      </c>
      <c r="I105" s="117">
        <f t="shared" si="11"/>
        <v>315</v>
      </c>
      <c r="J105" s="117">
        <f t="shared" si="11"/>
        <v>315</v>
      </c>
      <c r="K105" s="117">
        <f t="shared" si="11"/>
        <v>315</v>
      </c>
      <c r="L105" s="117">
        <f t="shared" si="11"/>
        <v>315</v>
      </c>
      <c r="M105" s="117">
        <f t="shared" si="11"/>
        <v>315</v>
      </c>
      <c r="N105" s="102"/>
    </row>
    <row r="106" spans="2:14" ht="12.75">
      <c r="B106" s="8"/>
      <c r="C106" s="8"/>
      <c r="D106" s="8"/>
      <c r="E106" s="8"/>
      <c r="F106" s="100"/>
      <c r="G106" s="100"/>
      <c r="H106" s="101"/>
      <c r="I106" s="100"/>
      <c r="J106" s="100"/>
      <c r="K106" s="100"/>
      <c r="L106" s="100"/>
      <c r="M106" s="100"/>
      <c r="N106" s="102"/>
    </row>
    <row r="107" spans="2:14" ht="12.75">
      <c r="B107" s="8" t="s">
        <v>111</v>
      </c>
      <c r="C107" s="8"/>
      <c r="D107" s="8"/>
      <c r="E107" s="8"/>
      <c r="F107" s="100"/>
      <c r="G107" s="100"/>
      <c r="H107" s="101"/>
      <c r="I107" s="122">
        <f>I59</f>
        <v>0</v>
      </c>
      <c r="J107" s="122">
        <f>J59</f>
        <v>0</v>
      </c>
      <c r="K107" s="122">
        <f>K59</f>
        <v>0</v>
      </c>
      <c r="L107" s="122">
        <f>L59</f>
        <v>0</v>
      </c>
      <c r="M107" s="122">
        <f>M59</f>
        <v>0</v>
      </c>
      <c r="N107" s="102"/>
    </row>
    <row r="108" spans="2:14" ht="12.75">
      <c r="B108" s="8" t="s">
        <v>112</v>
      </c>
      <c r="C108" s="8"/>
      <c r="D108" s="8"/>
      <c r="E108" s="8"/>
      <c r="F108" s="100"/>
      <c r="G108" s="100"/>
      <c r="H108" s="101"/>
      <c r="I108" s="146">
        <f>I107*(1-'Case Manager'!$K$23)</f>
        <v>0</v>
      </c>
      <c r="J108" s="146">
        <f>J107*(1-'Case Manager'!$K$23)</f>
        <v>0</v>
      </c>
      <c r="K108" s="146">
        <f>K107*(1-'Case Manager'!$K$23)</f>
        <v>0</v>
      </c>
      <c r="L108" s="146">
        <f>L107*(1-'Case Manager'!$K$23)</f>
        <v>0</v>
      </c>
      <c r="M108" s="146">
        <f>M107*(1-'Case Manager'!$K$23)</f>
        <v>0</v>
      </c>
      <c r="N108" s="102"/>
    </row>
    <row r="109" spans="2:14" ht="12.75">
      <c r="B109" s="8"/>
      <c r="C109" s="8"/>
      <c r="D109" s="8"/>
      <c r="E109" s="8"/>
      <c r="F109" s="100"/>
      <c r="G109" s="100"/>
      <c r="H109" s="101"/>
      <c r="I109" s="100"/>
      <c r="J109" s="100"/>
      <c r="K109" s="100"/>
      <c r="L109" s="100"/>
      <c r="M109" s="100"/>
      <c r="N109" s="102"/>
    </row>
    <row r="110" spans="2:14" ht="12.75">
      <c r="B110" s="1" t="str">
        <f>B33</f>
        <v>Net Sales</v>
      </c>
      <c r="F110" s="11">
        <f aca="true" t="shared" si="12" ref="F110:M110">F33</f>
        <v>6755</v>
      </c>
      <c r="G110" s="11">
        <f t="shared" si="12"/>
        <v>6326</v>
      </c>
      <c r="H110" s="24">
        <f t="shared" si="12"/>
        <v>6104</v>
      </c>
      <c r="I110" s="11">
        <f t="shared" si="12"/>
        <v>6086.125915080527</v>
      </c>
      <c r="J110" s="11">
        <f t="shared" si="12"/>
        <v>6086.125915080527</v>
      </c>
      <c r="K110" s="11">
        <f t="shared" si="12"/>
        <v>6086.125915080527</v>
      </c>
      <c r="L110" s="11">
        <f t="shared" si="12"/>
        <v>6086.125915080527</v>
      </c>
      <c r="M110" s="11">
        <f t="shared" si="12"/>
        <v>6086.125915080527</v>
      </c>
      <c r="N110" s="78">
        <f>(M110/H110)^(1/5)-1</f>
        <v>-0.0005863387204853021</v>
      </c>
    </row>
    <row r="111" spans="2:14" ht="12.75">
      <c r="B111" s="18" t="s">
        <v>5</v>
      </c>
      <c r="G111" s="9">
        <f aca="true" t="shared" si="13" ref="G111:M111">G110/F110-1</f>
        <v>-0.06350851221317544</v>
      </c>
      <c r="H111" s="27">
        <f t="shared" si="13"/>
        <v>-0.03509326588681627</v>
      </c>
      <c r="I111" s="9">
        <f t="shared" si="13"/>
        <v>-0.002928257686676372</v>
      </c>
      <c r="J111" s="9">
        <f t="shared" si="13"/>
        <v>0</v>
      </c>
      <c r="K111" s="9">
        <f t="shared" si="13"/>
        <v>0</v>
      </c>
      <c r="L111" s="9">
        <f t="shared" si="13"/>
        <v>0</v>
      </c>
      <c r="M111" s="9">
        <f t="shared" si="13"/>
        <v>0</v>
      </c>
      <c r="N111" s="78"/>
    </row>
    <row r="112" spans="2:14" ht="12.75">
      <c r="B112" s="18"/>
      <c r="H112" s="24"/>
      <c r="N112" s="76"/>
    </row>
    <row r="113" spans="2:14" ht="12.75">
      <c r="B113" s="35" t="s">
        <v>36</v>
      </c>
      <c r="F113" s="11">
        <f aca="true" t="shared" si="14" ref="F113:M113">F110-F117</f>
        <v>6308</v>
      </c>
      <c r="G113" s="11">
        <f t="shared" si="14"/>
        <v>6062</v>
      </c>
      <c r="H113" s="24">
        <f t="shared" si="14"/>
        <v>5782</v>
      </c>
      <c r="I113" s="11">
        <f t="shared" si="14"/>
        <v>5765.068814055637</v>
      </c>
      <c r="J113" s="11">
        <f t="shared" si="14"/>
        <v>5765.068814055637</v>
      </c>
      <c r="K113" s="11">
        <f t="shared" si="14"/>
        <v>5765.068814055637</v>
      </c>
      <c r="L113" s="11">
        <f t="shared" si="14"/>
        <v>5765.068814055637</v>
      </c>
      <c r="M113" s="11">
        <f t="shared" si="14"/>
        <v>5765.068814055637</v>
      </c>
      <c r="N113" s="78">
        <f>(M113/H113)^(1/5)-1</f>
        <v>-0.0005863387204853021</v>
      </c>
    </row>
    <row r="114" spans="2:14" ht="12.75">
      <c r="B114" s="18" t="s">
        <v>5</v>
      </c>
      <c r="G114" s="9">
        <f aca="true" t="shared" si="15" ref="G114:M114">G113/F113-1</f>
        <v>-0.038998097653772934</v>
      </c>
      <c r="H114" s="27">
        <f t="shared" si="15"/>
        <v>-0.04618937644341803</v>
      </c>
      <c r="I114" s="9">
        <f t="shared" si="15"/>
        <v>-0.002928257686676483</v>
      </c>
      <c r="J114" s="9">
        <f t="shared" si="15"/>
        <v>0</v>
      </c>
      <c r="K114" s="9">
        <f t="shared" si="15"/>
        <v>0</v>
      </c>
      <c r="L114" s="9">
        <f t="shared" si="15"/>
        <v>0</v>
      </c>
      <c r="M114" s="9">
        <f t="shared" si="15"/>
        <v>0</v>
      </c>
      <c r="N114" s="76"/>
    </row>
    <row r="115" spans="2:14" ht="12.75">
      <c r="B115" s="18" t="s">
        <v>8</v>
      </c>
      <c r="F115" s="9">
        <f aca="true" t="shared" si="16" ref="F115:M115">F113/F$110</f>
        <v>0.9338267949666913</v>
      </c>
      <c r="G115" s="9">
        <f t="shared" si="16"/>
        <v>0.9582674675940562</v>
      </c>
      <c r="H115" s="27">
        <f t="shared" si="16"/>
        <v>0.9472477064220184</v>
      </c>
      <c r="I115" s="9">
        <f t="shared" si="16"/>
        <v>0.9472477064220183</v>
      </c>
      <c r="J115" s="9">
        <f t="shared" si="16"/>
        <v>0.9472477064220183</v>
      </c>
      <c r="K115" s="9">
        <f t="shared" si="16"/>
        <v>0.9472477064220183</v>
      </c>
      <c r="L115" s="9">
        <f t="shared" si="16"/>
        <v>0.9472477064220183</v>
      </c>
      <c r="M115" s="9">
        <f t="shared" si="16"/>
        <v>0.9472477064220183</v>
      </c>
      <c r="N115" s="76"/>
    </row>
    <row r="116" spans="8:14" ht="12.75">
      <c r="H116" s="28"/>
      <c r="N116" s="76"/>
    </row>
    <row r="117" spans="2:14" ht="12.75">
      <c r="B117" s="1" t="str">
        <f>B75</f>
        <v>EBITDA</v>
      </c>
      <c r="F117" s="11">
        <f aca="true" t="shared" si="17" ref="F117:M117">F75</f>
        <v>447</v>
      </c>
      <c r="G117" s="11">
        <f t="shared" si="17"/>
        <v>264</v>
      </c>
      <c r="H117" s="24">
        <f t="shared" si="17"/>
        <v>322</v>
      </c>
      <c r="I117" s="11">
        <f t="shared" si="17"/>
        <v>321.0571010248902</v>
      </c>
      <c r="J117" s="11">
        <f t="shared" si="17"/>
        <v>321.0571010248902</v>
      </c>
      <c r="K117" s="11">
        <f t="shared" si="17"/>
        <v>321.0571010248902</v>
      </c>
      <c r="L117" s="11">
        <f t="shared" si="17"/>
        <v>321.0571010248902</v>
      </c>
      <c r="M117" s="11">
        <f t="shared" si="17"/>
        <v>321.0571010248902</v>
      </c>
      <c r="N117" s="78">
        <f>(M117/H117)^(1/5)-1</f>
        <v>-0.0005863387204853021</v>
      </c>
    </row>
    <row r="118" spans="2:14" ht="12.75">
      <c r="B118" s="18" t="s">
        <v>5</v>
      </c>
      <c r="G118" s="9">
        <f aca="true" t="shared" si="18" ref="G118:M118">G117/F117-1</f>
        <v>-0.4093959731543624</v>
      </c>
      <c r="H118" s="27">
        <f t="shared" si="18"/>
        <v>0.21969696969696972</v>
      </c>
      <c r="I118" s="9">
        <f t="shared" si="18"/>
        <v>-0.002928257686676483</v>
      </c>
      <c r="J118" s="9">
        <f t="shared" si="18"/>
        <v>0</v>
      </c>
      <c r="K118" s="9">
        <f t="shared" si="18"/>
        <v>0</v>
      </c>
      <c r="L118" s="9">
        <f t="shared" si="18"/>
        <v>0</v>
      </c>
      <c r="M118" s="9">
        <f t="shared" si="18"/>
        <v>0</v>
      </c>
      <c r="N118" s="76"/>
    </row>
    <row r="119" spans="2:14" ht="12.75">
      <c r="B119" s="18" t="s">
        <v>8</v>
      </c>
      <c r="F119" s="9">
        <f aca="true" t="shared" si="19" ref="F119:M119">F117/F$110</f>
        <v>0.06617320503330866</v>
      </c>
      <c r="G119" s="9">
        <f t="shared" si="19"/>
        <v>0.041732532405943726</v>
      </c>
      <c r="H119" s="27">
        <f t="shared" si="19"/>
        <v>0.052752293577981654</v>
      </c>
      <c r="I119" s="9">
        <f t="shared" si="19"/>
        <v>0.05275229357798165</v>
      </c>
      <c r="J119" s="9">
        <f t="shared" si="19"/>
        <v>0.05275229357798165</v>
      </c>
      <c r="K119" s="9">
        <f t="shared" si="19"/>
        <v>0.05275229357798165</v>
      </c>
      <c r="L119" s="9">
        <f t="shared" si="19"/>
        <v>0.05275229357798165</v>
      </c>
      <c r="M119" s="9">
        <f t="shared" si="19"/>
        <v>0.05275229357798165</v>
      </c>
      <c r="N119" s="76"/>
    </row>
    <row r="120" spans="2:14" ht="12.75">
      <c r="B120" s="18"/>
      <c r="C120" s="8"/>
      <c r="D120" s="8"/>
      <c r="E120" s="8"/>
      <c r="F120" s="31"/>
      <c r="G120" s="31"/>
      <c r="H120" s="27"/>
      <c r="I120" s="31"/>
      <c r="J120" s="31"/>
      <c r="K120" s="31"/>
      <c r="L120" s="31"/>
      <c r="M120" s="31"/>
      <c r="N120" s="76"/>
    </row>
    <row r="121" spans="2:14" ht="12.75">
      <c r="B121" s="10" t="str">
        <f>B88</f>
        <v>D&amp;A</v>
      </c>
      <c r="C121" s="10"/>
      <c r="D121" s="10"/>
      <c r="E121" s="10"/>
      <c r="F121" s="17">
        <f aca="true" t="shared" si="20" ref="F121:M121">F88</f>
        <v>191</v>
      </c>
      <c r="G121" s="17">
        <f t="shared" si="20"/>
        <v>194</v>
      </c>
      <c r="H121" s="26">
        <f t="shared" si="20"/>
        <v>200</v>
      </c>
      <c r="I121" s="17">
        <f t="shared" si="20"/>
        <v>199.41434846266472</v>
      </c>
      <c r="J121" s="17">
        <f t="shared" si="20"/>
        <v>199.41434846266472</v>
      </c>
      <c r="K121" s="17">
        <f t="shared" si="20"/>
        <v>199.41434846266472</v>
      </c>
      <c r="L121" s="17">
        <f t="shared" si="20"/>
        <v>199.41434846266472</v>
      </c>
      <c r="M121" s="17">
        <f t="shared" si="20"/>
        <v>199.41434846266472</v>
      </c>
      <c r="N121" s="79">
        <f>(M121/H121)^(1/5)-1</f>
        <v>-0.0005863387204853021</v>
      </c>
    </row>
    <row r="122" spans="2:14" ht="12.75">
      <c r="B122" s="35" t="s">
        <v>17</v>
      </c>
      <c r="F122" s="11">
        <f aca="true" t="shared" si="21" ref="F122:M122">F117-F121</f>
        <v>256</v>
      </c>
      <c r="G122" s="11">
        <f t="shared" si="21"/>
        <v>70</v>
      </c>
      <c r="H122" s="24">
        <f t="shared" si="21"/>
        <v>122</v>
      </c>
      <c r="I122" s="11">
        <f t="shared" si="21"/>
        <v>121.64275256222547</v>
      </c>
      <c r="J122" s="11">
        <f t="shared" si="21"/>
        <v>121.64275256222547</v>
      </c>
      <c r="K122" s="11">
        <f t="shared" si="21"/>
        <v>121.64275256222547</v>
      </c>
      <c r="L122" s="11">
        <f t="shared" si="21"/>
        <v>121.64275256222547</v>
      </c>
      <c r="M122" s="11">
        <f t="shared" si="21"/>
        <v>121.64275256222547</v>
      </c>
      <c r="N122" s="78">
        <f>(M122/H122)^(1/5)-1</f>
        <v>-0.0005863387204853021</v>
      </c>
    </row>
    <row r="123" spans="2:13" ht="12.75">
      <c r="B123" s="18" t="s">
        <v>5</v>
      </c>
      <c r="G123" s="9">
        <f aca="true" t="shared" si="22" ref="G123:M123">G122/F122-1</f>
        <v>-0.7265625</v>
      </c>
      <c r="H123" s="27">
        <f t="shared" si="22"/>
        <v>0.7428571428571429</v>
      </c>
      <c r="I123" s="9">
        <f t="shared" si="22"/>
        <v>-0.002928257686676483</v>
      </c>
      <c r="J123" s="9">
        <f t="shared" si="22"/>
        <v>0</v>
      </c>
      <c r="K123" s="9">
        <f t="shared" si="22"/>
        <v>0</v>
      </c>
      <c r="L123" s="9">
        <f t="shared" si="22"/>
        <v>0</v>
      </c>
      <c r="M123" s="9">
        <f t="shared" si="22"/>
        <v>0</v>
      </c>
    </row>
    <row r="124" spans="2:14" ht="13.5" thickBot="1">
      <c r="B124" s="19" t="s">
        <v>8</v>
      </c>
      <c r="C124" s="4"/>
      <c r="D124" s="4"/>
      <c r="E124" s="4"/>
      <c r="F124" s="20">
        <f aca="true" t="shared" si="23" ref="F124:M124">F122/F$110</f>
        <v>0.03789785344189489</v>
      </c>
      <c r="G124" s="20">
        <f t="shared" si="23"/>
        <v>0.011065444198545684</v>
      </c>
      <c r="H124" s="29">
        <f t="shared" si="23"/>
        <v>0.01998689384010485</v>
      </c>
      <c r="I124" s="20">
        <f t="shared" si="23"/>
        <v>0.01998689384010485</v>
      </c>
      <c r="J124" s="20">
        <f t="shared" si="23"/>
        <v>0.01998689384010485</v>
      </c>
      <c r="K124" s="20">
        <f t="shared" si="23"/>
        <v>0.01998689384010485</v>
      </c>
      <c r="L124" s="20">
        <f t="shared" si="23"/>
        <v>0.01998689384010485</v>
      </c>
      <c r="M124" s="20">
        <f t="shared" si="23"/>
        <v>0.01998689384010485</v>
      </c>
      <c r="N124" s="4"/>
    </row>
    <row r="125" ht="12.75">
      <c r="B125" s="1" t="s">
        <v>41</v>
      </c>
    </row>
    <row r="127" spans="2:13" ht="12.75">
      <c r="B127" s="136" t="s">
        <v>101</v>
      </c>
      <c r="C127" s="137"/>
      <c r="D127" s="137"/>
      <c r="E127" s="137"/>
      <c r="F127" s="138" t="b">
        <f aca="true" t="shared" si="24" ref="F127:M127">F100*F102=F110</f>
        <v>1</v>
      </c>
      <c r="G127" s="138" t="b">
        <f t="shared" si="24"/>
        <v>1</v>
      </c>
      <c r="H127" s="138" t="b">
        <f t="shared" si="24"/>
        <v>1</v>
      </c>
      <c r="I127" s="138" t="b">
        <f t="shared" si="24"/>
        <v>1</v>
      </c>
      <c r="J127" s="138" t="b">
        <f t="shared" si="24"/>
        <v>1</v>
      </c>
      <c r="K127" s="138" t="b">
        <f t="shared" si="24"/>
        <v>1</v>
      </c>
      <c r="L127" s="138" t="b">
        <f t="shared" si="24"/>
        <v>1</v>
      </c>
      <c r="M127" s="138" t="b">
        <f t="shared" si="24"/>
        <v>1</v>
      </c>
    </row>
    <row r="128" spans="2:13" ht="12.75">
      <c r="B128" s="136" t="s">
        <v>124</v>
      </c>
      <c r="F128" s="138" t="b">
        <f>F110-F113=F117</f>
        <v>1</v>
      </c>
      <c r="G128" s="138" t="b">
        <f aca="true" t="shared" si="25" ref="G128:M128">G110-G113=G117</f>
        <v>1</v>
      </c>
      <c r="H128" s="138" t="b">
        <f t="shared" si="25"/>
        <v>1</v>
      </c>
      <c r="I128" s="138" t="b">
        <f t="shared" si="25"/>
        <v>1</v>
      </c>
      <c r="J128" s="138" t="b">
        <f t="shared" si="25"/>
        <v>1</v>
      </c>
      <c r="K128" s="138" t="b">
        <f t="shared" si="25"/>
        <v>1</v>
      </c>
      <c r="L128" s="138" t="b">
        <f t="shared" si="25"/>
        <v>1</v>
      </c>
      <c r="M128" s="138" t="b">
        <f t="shared" si="25"/>
        <v>1</v>
      </c>
    </row>
    <row r="129" spans="2:13" ht="12.75">
      <c r="B129" s="136" t="s">
        <v>125</v>
      </c>
      <c r="F129" s="138" t="b">
        <f>F110-F113-F121=F122</f>
        <v>1</v>
      </c>
      <c r="G129" s="138" t="b">
        <f aca="true" t="shared" si="26" ref="G129:M129">G110-G113-G121=G122</f>
        <v>1</v>
      </c>
      <c r="H129" s="138" t="b">
        <f t="shared" si="26"/>
        <v>1</v>
      </c>
      <c r="I129" s="138" t="b">
        <f t="shared" si="26"/>
        <v>0</v>
      </c>
      <c r="J129" s="138" t="b">
        <f t="shared" si="26"/>
        <v>0</v>
      </c>
      <c r="K129" s="138" t="b">
        <f t="shared" si="26"/>
        <v>0</v>
      </c>
      <c r="L129" s="138" t="b">
        <f t="shared" si="26"/>
        <v>0</v>
      </c>
      <c r="M129" s="138" t="b">
        <f t="shared" si="26"/>
        <v>0</v>
      </c>
    </row>
  </sheetData>
  <sheetProtection/>
  <printOptions/>
  <pageMargins left="0.5" right="0.5" top="0.5" bottom="0.5" header="0.5" footer="0.5"/>
  <pageSetup horizontalDpi="600" verticalDpi="600" orientation="landscape" scale="90" r:id="rId1"/>
  <headerFooter alignWithMargins="0">
    <oddFooter>&amp;R&amp;"Times New Roman,Regular"&amp;8Page &amp;P &amp;D / &amp;T</oddFooter>
  </headerFooter>
</worksheet>
</file>

<file path=xl/worksheets/sheet9.xml><?xml version="1.0" encoding="utf-8"?>
<worksheet xmlns="http://schemas.openxmlformats.org/spreadsheetml/2006/main" xmlns:r="http://schemas.openxmlformats.org/officeDocument/2006/relationships">
  <dimension ref="B2:N64"/>
  <sheetViews>
    <sheetView showGridLines="0" zoomScalePageLayoutView="0" workbookViewId="0" topLeftCell="A1">
      <selection activeCell="A1" sqref="A1"/>
    </sheetView>
  </sheetViews>
  <sheetFormatPr defaultColWidth="10.7109375" defaultRowHeight="12.75"/>
  <cols>
    <col min="1" max="16384" width="10.7109375" style="1" customWidth="1"/>
  </cols>
  <sheetData>
    <row r="2" ht="13.5">
      <c r="B2" s="50" t="s">
        <v>37</v>
      </c>
    </row>
    <row r="3" ht="12.75">
      <c r="B3" s="5" t="str">
        <f>'Case Manager'!$K$5</f>
        <v>($ in millions)</v>
      </c>
    </row>
    <row r="4" ht="12.75">
      <c r="B4" s="5"/>
    </row>
    <row r="5" ht="13.5">
      <c r="B5" s="50" t="s">
        <v>32</v>
      </c>
    </row>
    <row r="6" spans="2:14" ht="14.25" thickBot="1">
      <c r="B6" s="3"/>
      <c r="C6" s="4"/>
      <c r="D6" s="4"/>
      <c r="E6" s="4"/>
      <c r="F6" s="4"/>
      <c r="G6" s="4"/>
      <c r="H6" s="4"/>
      <c r="I6" s="4"/>
      <c r="J6" s="4"/>
      <c r="K6" s="4"/>
      <c r="L6" s="4"/>
      <c r="M6" s="4"/>
      <c r="N6" s="4"/>
    </row>
    <row r="7" spans="2:14" ht="13.5">
      <c r="B7" s="5" t="str">
        <f>'Case Manager'!$K$6</f>
        <v>For the FYE January 31</v>
      </c>
      <c r="F7" s="12" t="str">
        <f>'Consolidated Financial Results'!$F$7</f>
        <v>Actual</v>
      </c>
      <c r="G7" s="13"/>
      <c r="H7" s="53"/>
      <c r="I7" s="12" t="str">
        <f>'Consolidated Financial Results'!$I$7</f>
        <v>Projected</v>
      </c>
      <c r="J7" s="12"/>
      <c r="K7" s="12"/>
      <c r="L7" s="13"/>
      <c r="M7" s="6"/>
      <c r="N7" s="33"/>
    </row>
    <row r="8" spans="2:14" ht="12.75">
      <c r="B8" s="7"/>
      <c r="C8" s="7"/>
      <c r="D8" s="7"/>
      <c r="E8" s="7"/>
      <c r="F8" s="15">
        <f>'Consolidated Financial Results'!$F$8</f>
        <v>2003</v>
      </c>
      <c r="G8" s="15">
        <f>'Consolidated Financial Results'!$G$8</f>
        <v>2004</v>
      </c>
      <c r="H8" s="16">
        <f>'Consolidated Financial Results'!$H$8</f>
        <v>2005</v>
      </c>
      <c r="I8" s="15">
        <f>'Consolidated Financial Results'!$I$8</f>
        <v>2006</v>
      </c>
      <c r="J8" s="15">
        <f>'Consolidated Financial Results'!$J$8</f>
        <v>2007</v>
      </c>
      <c r="K8" s="15">
        <f>'Consolidated Financial Results'!$K$8</f>
        <v>2008</v>
      </c>
      <c r="L8" s="15">
        <f>'Consolidated Financial Results'!$L$8</f>
        <v>2009</v>
      </c>
      <c r="M8" s="32">
        <f>'Consolidated Financial Results'!$M$8</f>
        <v>2010</v>
      </c>
      <c r="N8" s="34"/>
    </row>
    <row r="9" spans="2:13" ht="12.75">
      <c r="B9" s="1" t="str">
        <f>'Case Manager'!$B$59</f>
        <v>Base Case</v>
      </c>
      <c r="F9" s="51"/>
      <c r="G9" s="51"/>
      <c r="H9" s="54"/>
      <c r="I9" s="60">
        <v>0</v>
      </c>
      <c r="J9" s="60">
        <v>0</v>
      </c>
      <c r="K9" s="60">
        <v>0</v>
      </c>
      <c r="L9" s="60">
        <v>0</v>
      </c>
      <c r="M9" s="60">
        <v>0</v>
      </c>
    </row>
    <row r="10" spans="2:13" ht="12.75">
      <c r="B10" s="1" t="str">
        <f>'Case Manager'!$B$60</f>
        <v>Upside Case</v>
      </c>
      <c r="F10" s="51"/>
      <c r="G10" s="51"/>
      <c r="H10" s="54"/>
      <c r="I10" s="60">
        <v>0</v>
      </c>
      <c r="J10" s="60">
        <v>0</v>
      </c>
      <c r="K10" s="60">
        <v>0</v>
      </c>
      <c r="L10" s="60">
        <v>0</v>
      </c>
      <c r="M10" s="60">
        <v>0</v>
      </c>
    </row>
    <row r="11" spans="2:13" ht="12.75">
      <c r="B11" s="1" t="str">
        <f>'Case Manager'!$B$61</f>
        <v>Downside Case</v>
      </c>
      <c r="F11" s="51"/>
      <c r="G11" s="51"/>
      <c r="H11" s="54"/>
      <c r="I11" s="60">
        <v>0</v>
      </c>
      <c r="J11" s="60">
        <v>0</v>
      </c>
      <c r="K11" s="60">
        <v>0</v>
      </c>
      <c r="L11" s="60">
        <v>0</v>
      </c>
      <c r="M11" s="60">
        <v>0</v>
      </c>
    </row>
    <row r="12" spans="2:13" ht="12.75">
      <c r="B12" s="1" t="str">
        <f>'Case Manager'!$B$62</f>
        <v>Open Case #1</v>
      </c>
      <c r="F12" s="51"/>
      <c r="G12" s="51"/>
      <c r="H12" s="54"/>
      <c r="I12" s="60">
        <v>0</v>
      </c>
      <c r="J12" s="60">
        <v>0</v>
      </c>
      <c r="K12" s="60">
        <v>0</v>
      </c>
      <c r="L12" s="60">
        <v>0</v>
      </c>
      <c r="M12" s="60">
        <v>0</v>
      </c>
    </row>
    <row r="13" spans="2:14" ht="12.75">
      <c r="B13" s="10" t="str">
        <f>'Case Manager'!$B$63</f>
        <v>Open Case #2</v>
      </c>
      <c r="C13" s="10"/>
      <c r="D13" s="10"/>
      <c r="E13" s="10"/>
      <c r="F13" s="52"/>
      <c r="G13" s="52"/>
      <c r="H13" s="55"/>
      <c r="I13" s="61">
        <v>0</v>
      </c>
      <c r="J13" s="61">
        <v>0</v>
      </c>
      <c r="K13" s="61">
        <v>0</v>
      </c>
      <c r="L13" s="61">
        <v>0</v>
      </c>
      <c r="M13" s="61">
        <v>0</v>
      </c>
      <c r="N13" s="10"/>
    </row>
    <row r="14" spans="2:13" ht="12.75">
      <c r="B14" s="1" t="str">
        <f>CHOOSE('Case Manager'!$G$65,'Toys R Us International'!B9,'Toys R Us International'!B10,'Toys R Us International'!B11,'Toys R Us International'!B12,'Toys R Us International'!B13)</f>
        <v>Base Case</v>
      </c>
      <c r="F14" s="9"/>
      <c r="G14" s="9">
        <f>G16/F16-1</f>
        <v>0.14298935677926883</v>
      </c>
      <c r="H14" s="27">
        <f>H16/G16-1</f>
        <v>0.10890688259109305</v>
      </c>
      <c r="I14" s="9">
        <f>CHOOSE('Case Manager'!$G$65,'Toys R Us International'!I9,'Toys R Us International'!I10,'Toys R Us International'!I11,'Toys R Us International'!I12,'Toys R Us International'!I13)</f>
        <v>0</v>
      </c>
      <c r="J14" s="9">
        <f>CHOOSE('Case Manager'!$G$65,'Toys R Us International'!J9,'Toys R Us International'!J10,'Toys R Us International'!J11,'Toys R Us International'!J12,'Toys R Us International'!J13)</f>
        <v>0</v>
      </c>
      <c r="K14" s="9">
        <f>CHOOSE('Case Manager'!$G$65,'Toys R Us International'!K9,'Toys R Us International'!K10,'Toys R Us International'!K11,'Toys R Us International'!K12,'Toys R Us International'!K13)</f>
        <v>0</v>
      </c>
      <c r="L14" s="9">
        <f>CHOOSE('Case Manager'!$G$65,'Toys R Us International'!L9,'Toys R Us International'!L10,'Toys R Us International'!L11,'Toys R Us International'!L12,'Toys R Us International'!L13)</f>
        <v>0</v>
      </c>
      <c r="M14" s="9">
        <f>CHOOSE('Case Manager'!$G$65,'Toys R Us International'!M9,'Toys R Us International'!M10,'Toys R Us International'!M11,'Toys R Us International'!M12,'Toys R Us International'!M13)</f>
        <v>0</v>
      </c>
    </row>
    <row r="15" spans="6:13" ht="12.75">
      <c r="F15" s="9"/>
      <c r="G15" s="9"/>
      <c r="H15" s="27"/>
      <c r="I15" s="9"/>
      <c r="J15" s="9"/>
      <c r="K15" s="9"/>
      <c r="L15" s="9"/>
      <c r="M15" s="9"/>
    </row>
    <row r="16" spans="2:14" ht="13.5" thickBot="1">
      <c r="B16" s="58" t="s">
        <v>31</v>
      </c>
      <c r="C16" s="4"/>
      <c r="D16" s="4"/>
      <c r="E16" s="4"/>
      <c r="F16" s="56">
        <v>2161</v>
      </c>
      <c r="G16" s="56">
        <v>2470</v>
      </c>
      <c r="H16" s="59">
        <v>2739</v>
      </c>
      <c r="I16" s="57">
        <f>H16*(1+I14)</f>
        <v>2739</v>
      </c>
      <c r="J16" s="57">
        <f>I16*(1+J14)</f>
        <v>2739</v>
      </c>
      <c r="K16" s="57">
        <f>J16*(1+K14)</f>
        <v>2739</v>
      </c>
      <c r="L16" s="57">
        <f>K16*(1+L14)</f>
        <v>2739</v>
      </c>
      <c r="M16" s="57">
        <f>L16*(1+M14)</f>
        <v>2739</v>
      </c>
      <c r="N16" s="4"/>
    </row>
    <row r="17" ht="12.75">
      <c r="B17" s="5"/>
    </row>
    <row r="18" ht="13.5">
      <c r="B18" s="50" t="s">
        <v>33</v>
      </c>
    </row>
    <row r="19" spans="2:14" ht="14.25" thickBot="1">
      <c r="B19" s="3"/>
      <c r="C19" s="4"/>
      <c r="D19" s="4"/>
      <c r="E19" s="4"/>
      <c r="F19" s="4"/>
      <c r="G19" s="4"/>
      <c r="H19" s="4"/>
      <c r="I19" s="4"/>
      <c r="J19" s="4"/>
      <c r="K19" s="4"/>
      <c r="L19" s="4"/>
      <c r="M19" s="4"/>
      <c r="N19" s="4"/>
    </row>
    <row r="20" spans="2:14" ht="13.5">
      <c r="B20" s="5" t="str">
        <f>'Case Manager'!$K$6</f>
        <v>For the FYE January 31</v>
      </c>
      <c r="F20" s="12" t="str">
        <f>'Consolidated Financial Results'!$F$7</f>
        <v>Actual</v>
      </c>
      <c r="G20" s="13"/>
      <c r="H20" s="53"/>
      <c r="I20" s="12" t="str">
        <f>'Consolidated Financial Results'!$I$7</f>
        <v>Projected</v>
      </c>
      <c r="J20" s="12"/>
      <c r="K20" s="12"/>
      <c r="L20" s="13"/>
      <c r="M20" s="6"/>
      <c r="N20" s="33"/>
    </row>
    <row r="21" spans="2:14" ht="12.75">
      <c r="B21" s="7"/>
      <c r="C21" s="7"/>
      <c r="D21" s="7"/>
      <c r="E21" s="7"/>
      <c r="F21" s="15">
        <f>'Consolidated Financial Results'!$F$8</f>
        <v>2003</v>
      </c>
      <c r="G21" s="15">
        <f>'Consolidated Financial Results'!$G$8</f>
        <v>2004</v>
      </c>
      <c r="H21" s="16">
        <f>'Consolidated Financial Results'!$H$8</f>
        <v>2005</v>
      </c>
      <c r="I21" s="15">
        <f>'Consolidated Financial Results'!$I$8</f>
        <v>2006</v>
      </c>
      <c r="J21" s="15">
        <f>'Consolidated Financial Results'!$J$8</f>
        <v>2007</v>
      </c>
      <c r="K21" s="15">
        <f>'Consolidated Financial Results'!$K$8</f>
        <v>2008</v>
      </c>
      <c r="L21" s="15">
        <f>'Consolidated Financial Results'!$L$8</f>
        <v>2009</v>
      </c>
      <c r="M21" s="32">
        <f>'Consolidated Financial Results'!$M$8</f>
        <v>2010</v>
      </c>
      <c r="N21" s="34"/>
    </row>
    <row r="22" spans="2:13" ht="12.75">
      <c r="B22" s="1" t="str">
        <f>'Case Manager'!$B$59</f>
        <v>Base Case</v>
      </c>
      <c r="F22" s="51"/>
      <c r="G22" s="51"/>
      <c r="H22" s="54"/>
      <c r="I22" s="60">
        <v>0.1077035414384812</v>
      </c>
      <c r="J22" s="60">
        <v>0.1077035414384812</v>
      </c>
      <c r="K22" s="60">
        <v>0.1077035414384812</v>
      </c>
      <c r="L22" s="60">
        <v>0.1077035414384812</v>
      </c>
      <c r="M22" s="60">
        <v>0.1077035414384812</v>
      </c>
    </row>
    <row r="23" spans="2:13" ht="12.75">
      <c r="B23" s="1" t="str">
        <f>'Case Manager'!$B$60</f>
        <v>Upside Case</v>
      </c>
      <c r="F23" s="51"/>
      <c r="G23" s="51"/>
      <c r="H23" s="54"/>
      <c r="I23" s="60">
        <v>0.1077035414384812</v>
      </c>
      <c r="J23" s="60">
        <v>0.1077035414384812</v>
      </c>
      <c r="K23" s="60">
        <v>0.1077035414384812</v>
      </c>
      <c r="L23" s="60">
        <v>0.1077035414384812</v>
      </c>
      <c r="M23" s="60">
        <v>0.1077035414384812</v>
      </c>
    </row>
    <row r="24" spans="2:13" ht="12.75">
      <c r="B24" s="1" t="str">
        <f>'Case Manager'!$B$61</f>
        <v>Downside Case</v>
      </c>
      <c r="F24" s="51"/>
      <c r="G24" s="51"/>
      <c r="H24" s="54"/>
      <c r="I24" s="60">
        <v>0.1077035414384812</v>
      </c>
      <c r="J24" s="60">
        <v>0.1077035414384812</v>
      </c>
      <c r="K24" s="60">
        <v>0.1077035414384812</v>
      </c>
      <c r="L24" s="60">
        <v>0.1077035414384812</v>
      </c>
      <c r="M24" s="60">
        <v>0.1077035414384812</v>
      </c>
    </row>
    <row r="25" spans="2:13" ht="12.75">
      <c r="B25" s="1" t="str">
        <f>'Case Manager'!$B$62</f>
        <v>Open Case #1</v>
      </c>
      <c r="F25" s="51"/>
      <c r="G25" s="51"/>
      <c r="H25" s="54"/>
      <c r="I25" s="60">
        <v>0.1077035414384812</v>
      </c>
      <c r="J25" s="60">
        <v>0.1077035414384812</v>
      </c>
      <c r="K25" s="60">
        <v>0.1077035414384812</v>
      </c>
      <c r="L25" s="60">
        <v>0.1077035414384812</v>
      </c>
      <c r="M25" s="60">
        <v>0.1077035414384812</v>
      </c>
    </row>
    <row r="26" spans="2:14" ht="12.75">
      <c r="B26" s="10" t="str">
        <f>'Case Manager'!$B$63</f>
        <v>Open Case #2</v>
      </c>
      <c r="C26" s="10"/>
      <c r="D26" s="10"/>
      <c r="E26" s="10"/>
      <c r="F26" s="52"/>
      <c r="G26" s="52"/>
      <c r="H26" s="55"/>
      <c r="I26" s="61">
        <v>0.1077035414384812</v>
      </c>
      <c r="J26" s="61">
        <v>0.1077035414384812</v>
      </c>
      <c r="K26" s="61">
        <v>0.1077035414384812</v>
      </c>
      <c r="L26" s="61">
        <v>0.1077035414384812</v>
      </c>
      <c r="M26" s="61">
        <v>0.1077035414384812</v>
      </c>
      <c r="N26" s="10"/>
    </row>
    <row r="27" spans="2:13" ht="12.75">
      <c r="B27" s="1" t="str">
        <f>CHOOSE('Case Manager'!$G$65,'Toys R Us International'!B22,'Toys R Us International'!B23,'Toys R Us International'!B24,'Toys R Us International'!B25,'Toys R Us International'!B26)</f>
        <v>Base Case</v>
      </c>
      <c r="F27" s="9">
        <f>F29/F$16</f>
        <v>0.09717723276260991</v>
      </c>
      <c r="G27" s="9">
        <f>G29/G$16</f>
        <v>0.09190283400809716</v>
      </c>
      <c r="H27" s="27">
        <f>H29/H$16</f>
        <v>0.1077035414384812</v>
      </c>
      <c r="I27" s="9">
        <f>CHOOSE('Case Manager'!$G$65,'Toys R Us International'!I22,'Toys R Us International'!I23,'Toys R Us International'!I24,'Toys R Us International'!I25,'Toys R Us International'!I26)</f>
        <v>0.1077035414384812</v>
      </c>
      <c r="J27" s="9">
        <f>CHOOSE('Case Manager'!$G$65,'Toys R Us International'!J22,'Toys R Us International'!J23,'Toys R Us International'!J24,'Toys R Us International'!J25,'Toys R Us International'!J26)</f>
        <v>0.1077035414384812</v>
      </c>
      <c r="K27" s="9">
        <f>CHOOSE('Case Manager'!$G$65,'Toys R Us International'!K22,'Toys R Us International'!K23,'Toys R Us International'!K24,'Toys R Us International'!K25,'Toys R Us International'!K26)</f>
        <v>0.1077035414384812</v>
      </c>
      <c r="L27" s="9">
        <f>CHOOSE('Case Manager'!$G$65,'Toys R Us International'!L22,'Toys R Us International'!L23,'Toys R Us International'!L24,'Toys R Us International'!L25,'Toys R Us International'!L26)</f>
        <v>0.1077035414384812</v>
      </c>
      <c r="M27" s="9">
        <f>CHOOSE('Case Manager'!$G$65,'Toys R Us International'!M22,'Toys R Us International'!M23,'Toys R Us International'!M24,'Toys R Us International'!M25,'Toys R Us International'!M26)</f>
        <v>0.1077035414384812</v>
      </c>
    </row>
    <row r="28" spans="6:13" ht="12.75">
      <c r="F28" s="9"/>
      <c r="G28" s="9"/>
      <c r="H28" s="27"/>
      <c r="I28" s="9"/>
      <c r="J28" s="9"/>
      <c r="K28" s="9"/>
      <c r="L28" s="9"/>
      <c r="M28" s="9"/>
    </row>
    <row r="29" spans="2:14" ht="13.5" thickBot="1">
      <c r="B29" s="58" t="s">
        <v>11</v>
      </c>
      <c r="C29" s="4"/>
      <c r="D29" s="4"/>
      <c r="E29" s="4"/>
      <c r="F29" s="56">
        <v>210</v>
      </c>
      <c r="G29" s="56">
        <v>227</v>
      </c>
      <c r="H29" s="59">
        <v>295</v>
      </c>
      <c r="I29" s="57">
        <f>I27*I16</f>
        <v>295</v>
      </c>
      <c r="J29" s="57">
        <f>J27*J16</f>
        <v>295</v>
      </c>
      <c r="K29" s="57">
        <f>K27*K16</f>
        <v>295</v>
      </c>
      <c r="L29" s="57">
        <f>L27*L16</f>
        <v>295</v>
      </c>
      <c r="M29" s="57">
        <f>M27*M16</f>
        <v>295</v>
      </c>
      <c r="N29" s="4"/>
    </row>
    <row r="30" ht="12.75">
      <c r="B30" s="5"/>
    </row>
    <row r="31" ht="13.5">
      <c r="B31" s="50" t="s">
        <v>34</v>
      </c>
    </row>
    <row r="32" spans="2:14" ht="14.25" thickBot="1">
      <c r="B32" s="3"/>
      <c r="C32" s="4"/>
      <c r="D32" s="4"/>
      <c r="E32" s="4"/>
      <c r="F32" s="4"/>
      <c r="G32" s="4"/>
      <c r="H32" s="4"/>
      <c r="I32" s="4"/>
      <c r="J32" s="4"/>
      <c r="K32" s="4"/>
      <c r="L32" s="4"/>
      <c r="M32" s="4"/>
      <c r="N32" s="4"/>
    </row>
    <row r="33" spans="2:14" ht="13.5">
      <c r="B33" s="5" t="str">
        <f>'Case Manager'!$K$6</f>
        <v>For the FYE January 31</v>
      </c>
      <c r="F33" s="12" t="str">
        <f>'Consolidated Financial Results'!$F$7</f>
        <v>Actual</v>
      </c>
      <c r="G33" s="13"/>
      <c r="H33" s="53"/>
      <c r="I33" s="12" t="str">
        <f>'Consolidated Financial Results'!$I$7</f>
        <v>Projected</v>
      </c>
      <c r="J33" s="12"/>
      <c r="K33" s="12"/>
      <c r="L33" s="13"/>
      <c r="M33" s="6"/>
      <c r="N33" s="33"/>
    </row>
    <row r="34" spans="2:14" ht="12.75">
      <c r="B34" s="7"/>
      <c r="C34" s="7"/>
      <c r="D34" s="7"/>
      <c r="E34" s="7"/>
      <c r="F34" s="15">
        <f>'Consolidated Financial Results'!$F$8</f>
        <v>2003</v>
      </c>
      <c r="G34" s="15">
        <f>'Consolidated Financial Results'!$G$8</f>
        <v>2004</v>
      </c>
      <c r="H34" s="16">
        <f>'Consolidated Financial Results'!$H$8</f>
        <v>2005</v>
      </c>
      <c r="I34" s="15">
        <f>'Consolidated Financial Results'!$I$8</f>
        <v>2006</v>
      </c>
      <c r="J34" s="15">
        <f>'Consolidated Financial Results'!$J$8</f>
        <v>2007</v>
      </c>
      <c r="K34" s="15">
        <f>'Consolidated Financial Results'!$K$8</f>
        <v>2008</v>
      </c>
      <c r="L34" s="15">
        <f>'Consolidated Financial Results'!$L$8</f>
        <v>2009</v>
      </c>
      <c r="M34" s="32">
        <f>'Consolidated Financial Results'!$M$8</f>
        <v>2010</v>
      </c>
      <c r="N34" s="34"/>
    </row>
    <row r="35" spans="2:13" ht="12.75">
      <c r="B35" s="1" t="str">
        <f>'Case Manager'!$B$59</f>
        <v>Base Case</v>
      </c>
      <c r="F35" s="51"/>
      <c r="G35" s="51"/>
      <c r="H35" s="54"/>
      <c r="I35" s="60">
        <v>0.027382256297918947</v>
      </c>
      <c r="J35" s="60">
        <v>0.027382256297918947</v>
      </c>
      <c r="K35" s="60">
        <v>0.027382256297918947</v>
      </c>
      <c r="L35" s="60">
        <v>0.027382256297918947</v>
      </c>
      <c r="M35" s="60">
        <v>0.027382256297918947</v>
      </c>
    </row>
    <row r="36" spans="2:13" ht="12.75">
      <c r="B36" s="1" t="str">
        <f>'Case Manager'!$B$60</f>
        <v>Upside Case</v>
      </c>
      <c r="F36" s="51"/>
      <c r="G36" s="51"/>
      <c r="H36" s="54"/>
      <c r="I36" s="60">
        <v>0.027382256297918947</v>
      </c>
      <c r="J36" s="60">
        <v>0.027382256297918947</v>
      </c>
      <c r="K36" s="60">
        <v>0.027382256297918947</v>
      </c>
      <c r="L36" s="60">
        <v>0.027382256297918947</v>
      </c>
      <c r="M36" s="60">
        <v>0.027382256297918947</v>
      </c>
    </row>
    <row r="37" spans="2:13" ht="12.75">
      <c r="B37" s="1" t="str">
        <f>'Case Manager'!$B$61</f>
        <v>Downside Case</v>
      </c>
      <c r="F37" s="51"/>
      <c r="G37" s="51"/>
      <c r="H37" s="54"/>
      <c r="I37" s="60">
        <v>0.027382256297918947</v>
      </c>
      <c r="J37" s="60">
        <v>0.027382256297918947</v>
      </c>
      <c r="K37" s="60">
        <v>0.027382256297918947</v>
      </c>
      <c r="L37" s="60">
        <v>0.027382256297918947</v>
      </c>
      <c r="M37" s="60">
        <v>0.027382256297918947</v>
      </c>
    </row>
    <row r="38" spans="2:13" ht="12.75">
      <c r="B38" s="1" t="str">
        <f>'Case Manager'!$B$62</f>
        <v>Open Case #1</v>
      </c>
      <c r="F38" s="51"/>
      <c r="G38" s="51"/>
      <c r="H38" s="54"/>
      <c r="I38" s="60">
        <v>0.027382256297918947</v>
      </c>
      <c r="J38" s="60">
        <v>0.027382256297918947</v>
      </c>
      <c r="K38" s="60">
        <v>0.027382256297918947</v>
      </c>
      <c r="L38" s="60">
        <v>0.027382256297918947</v>
      </c>
      <c r="M38" s="60">
        <v>0.027382256297918947</v>
      </c>
    </row>
    <row r="39" spans="2:14" ht="12.75">
      <c r="B39" s="10" t="str">
        <f>'Case Manager'!$B$63</f>
        <v>Open Case #2</v>
      </c>
      <c r="C39" s="10"/>
      <c r="D39" s="10"/>
      <c r="E39" s="10"/>
      <c r="F39" s="52"/>
      <c r="G39" s="52"/>
      <c r="H39" s="55"/>
      <c r="I39" s="61">
        <v>0.027382256297918947</v>
      </c>
      <c r="J39" s="61">
        <v>0.027382256297918947</v>
      </c>
      <c r="K39" s="61">
        <v>0.027382256297918947</v>
      </c>
      <c r="L39" s="61">
        <v>0.027382256297918947</v>
      </c>
      <c r="M39" s="61">
        <v>0.027382256297918947</v>
      </c>
      <c r="N39" s="10"/>
    </row>
    <row r="40" spans="2:13" ht="12.75">
      <c r="B40" s="1" t="str">
        <f>CHOOSE('Case Manager'!$G$65,'Toys R Us International'!B35,'Toys R Us International'!B36,'Toys R Us International'!B37,'Toys R Us International'!B38,'Toys R Us International'!B39)</f>
        <v>Base Case</v>
      </c>
      <c r="F40" s="9">
        <f>F42/F$16</f>
        <v>0.024062933826931976</v>
      </c>
      <c r="G40" s="9">
        <f>G42/G$16</f>
        <v>0.024696356275303644</v>
      </c>
      <c r="H40" s="27">
        <f>H42/H$16</f>
        <v>0.027382256297918947</v>
      </c>
      <c r="I40" s="9">
        <f>CHOOSE('Case Manager'!$G$65,'Toys R Us International'!I35,'Toys R Us International'!I36,'Toys R Us International'!I37,'Toys R Us International'!I38,'Toys R Us International'!I39)</f>
        <v>0.027382256297918947</v>
      </c>
      <c r="J40" s="9">
        <f>CHOOSE('Case Manager'!$G$65,'Toys R Us International'!J35,'Toys R Us International'!J36,'Toys R Us International'!J37,'Toys R Us International'!J38,'Toys R Us International'!J39)</f>
        <v>0.027382256297918947</v>
      </c>
      <c r="K40" s="9">
        <f>CHOOSE('Case Manager'!$G$65,'Toys R Us International'!K35,'Toys R Us International'!K36,'Toys R Us International'!K37,'Toys R Us International'!K38,'Toys R Us International'!K39)</f>
        <v>0.027382256297918947</v>
      </c>
      <c r="L40" s="9">
        <f>CHOOSE('Case Manager'!$G$65,'Toys R Us International'!L35,'Toys R Us International'!L36,'Toys R Us International'!L37,'Toys R Us International'!L38,'Toys R Us International'!L39)</f>
        <v>0.027382256297918947</v>
      </c>
      <c r="M40" s="9">
        <f>CHOOSE('Case Manager'!$G$65,'Toys R Us International'!M35,'Toys R Us International'!M36,'Toys R Us International'!M37,'Toys R Us International'!M38,'Toys R Us International'!M39)</f>
        <v>0.027382256297918947</v>
      </c>
    </row>
    <row r="41" spans="6:13" ht="12.75">
      <c r="F41" s="9"/>
      <c r="G41" s="9"/>
      <c r="H41" s="27"/>
      <c r="I41" s="9"/>
      <c r="J41" s="9"/>
      <c r="K41" s="9"/>
      <c r="L41" s="9"/>
      <c r="M41" s="9"/>
    </row>
    <row r="42" spans="2:14" ht="13.5" thickBot="1">
      <c r="B42" s="58" t="s">
        <v>35</v>
      </c>
      <c r="C42" s="4"/>
      <c r="D42" s="4"/>
      <c r="E42" s="4"/>
      <c r="F42" s="56">
        <v>52</v>
      </c>
      <c r="G42" s="56">
        <v>61</v>
      </c>
      <c r="H42" s="59">
        <v>75</v>
      </c>
      <c r="I42" s="57">
        <f>I40*I16</f>
        <v>75</v>
      </c>
      <c r="J42" s="57">
        <f>J40*J16</f>
        <v>75</v>
      </c>
      <c r="K42" s="57">
        <f>K40*K16</f>
        <v>75</v>
      </c>
      <c r="L42" s="57">
        <f>L40*L16</f>
        <v>75</v>
      </c>
      <c r="M42" s="57">
        <f>M40*M16</f>
        <v>75</v>
      </c>
      <c r="N42" s="4"/>
    </row>
    <row r="43" ht="12.75">
      <c r="B43" s="5"/>
    </row>
    <row r="44" ht="13.5">
      <c r="B44" s="2" t="str">
        <f>B2</f>
        <v>Toys R Us International</v>
      </c>
    </row>
    <row r="45" ht="12.75">
      <c r="B45" s="5"/>
    </row>
    <row r="46" ht="13.5">
      <c r="B46" s="2" t="str">
        <f>'Case Manager'!$D$65</f>
        <v>Base Case</v>
      </c>
    </row>
    <row r="47" spans="2:14" ht="14.25" thickBot="1">
      <c r="B47" s="3"/>
      <c r="C47" s="4"/>
      <c r="D47" s="4"/>
      <c r="E47" s="4"/>
      <c r="F47" s="4"/>
      <c r="G47" s="4"/>
      <c r="H47" s="4"/>
      <c r="I47" s="4"/>
      <c r="J47" s="4"/>
      <c r="K47" s="4"/>
      <c r="L47" s="4"/>
      <c r="M47" s="4"/>
      <c r="N47" s="4"/>
    </row>
    <row r="48" spans="2:14" ht="13.5">
      <c r="B48" s="5" t="str">
        <f>'Case Manager'!$K$6</f>
        <v>For the FYE January 31</v>
      </c>
      <c r="F48" s="12" t="str">
        <f>'Consolidated Financial Results'!F7</f>
        <v>Actual</v>
      </c>
      <c r="G48" s="13"/>
      <c r="H48" s="14"/>
      <c r="I48" s="12" t="str">
        <f>'Consolidated Financial Results'!I7</f>
        <v>Projected</v>
      </c>
      <c r="J48" s="12"/>
      <c r="K48" s="12"/>
      <c r="L48" s="13"/>
      <c r="M48" s="6"/>
      <c r="N48" s="33" t="str">
        <f>'Consolidated Financial Results'!N7</f>
        <v>CAGR</v>
      </c>
    </row>
    <row r="49" spans="2:14" ht="12.75">
      <c r="B49" s="7"/>
      <c r="C49" s="7"/>
      <c r="D49" s="7"/>
      <c r="E49" s="7"/>
      <c r="F49" s="15">
        <f>'Consolidated Financial Results'!F8</f>
        <v>2003</v>
      </c>
      <c r="G49" s="15">
        <f>'Consolidated Financial Results'!G8</f>
        <v>2004</v>
      </c>
      <c r="H49" s="16">
        <f>'Consolidated Financial Results'!H8</f>
        <v>2005</v>
      </c>
      <c r="I49" s="15">
        <f>'Consolidated Financial Results'!I8</f>
        <v>2006</v>
      </c>
      <c r="J49" s="15">
        <f>'Consolidated Financial Results'!J8</f>
        <v>2007</v>
      </c>
      <c r="K49" s="15">
        <f>'Consolidated Financial Results'!K8</f>
        <v>2008</v>
      </c>
      <c r="L49" s="15">
        <f>'Consolidated Financial Results'!L8</f>
        <v>2009</v>
      </c>
      <c r="M49" s="32">
        <f>'Consolidated Financial Results'!M8</f>
        <v>2010</v>
      </c>
      <c r="N49" s="34" t="str">
        <f>'Consolidated Financial Results'!N8</f>
        <v>'05-'10</v>
      </c>
    </row>
    <row r="50" spans="2:14" ht="12.75">
      <c r="B50" s="1" t="str">
        <f>B16</f>
        <v>Net Sales</v>
      </c>
      <c r="F50" s="11">
        <f>F16</f>
        <v>2161</v>
      </c>
      <c r="G50" s="11">
        <f aca="true" t="shared" si="0" ref="G50:M50">G16</f>
        <v>2470</v>
      </c>
      <c r="H50" s="24">
        <f t="shared" si="0"/>
        <v>2739</v>
      </c>
      <c r="I50" s="11">
        <f t="shared" si="0"/>
        <v>2739</v>
      </c>
      <c r="J50" s="11">
        <f t="shared" si="0"/>
        <v>2739</v>
      </c>
      <c r="K50" s="11">
        <f t="shared" si="0"/>
        <v>2739</v>
      </c>
      <c r="L50" s="11">
        <f t="shared" si="0"/>
        <v>2739</v>
      </c>
      <c r="M50" s="11">
        <f t="shared" si="0"/>
        <v>2739</v>
      </c>
      <c r="N50" s="78">
        <f>(M50/H50)^(1/5)-1</f>
        <v>0</v>
      </c>
    </row>
    <row r="51" spans="2:14" ht="12.75">
      <c r="B51" s="18" t="s">
        <v>5</v>
      </c>
      <c r="G51" s="9">
        <f aca="true" t="shared" si="1" ref="G51:M51">G50/F50-1</f>
        <v>0.14298935677926883</v>
      </c>
      <c r="H51" s="27">
        <f t="shared" si="1"/>
        <v>0.10890688259109305</v>
      </c>
      <c r="I51" s="9">
        <f t="shared" si="1"/>
        <v>0</v>
      </c>
      <c r="J51" s="9">
        <f t="shared" si="1"/>
        <v>0</v>
      </c>
      <c r="K51" s="9">
        <f t="shared" si="1"/>
        <v>0</v>
      </c>
      <c r="L51" s="9">
        <f t="shared" si="1"/>
        <v>0</v>
      </c>
      <c r="M51" s="9">
        <f t="shared" si="1"/>
        <v>0</v>
      </c>
      <c r="N51" s="78"/>
    </row>
    <row r="52" spans="2:14" ht="12.75">
      <c r="B52" s="18"/>
      <c r="G52" s="9"/>
      <c r="H52" s="27"/>
      <c r="I52" s="9"/>
      <c r="J52" s="9"/>
      <c r="K52" s="9"/>
      <c r="L52" s="9"/>
      <c r="M52" s="9"/>
      <c r="N52" s="76"/>
    </row>
    <row r="53" spans="2:14" ht="12.75">
      <c r="B53" s="35" t="s">
        <v>36</v>
      </c>
      <c r="F53" s="11">
        <f>F50-F57</f>
        <v>1951</v>
      </c>
      <c r="G53" s="11">
        <f aca="true" t="shared" si="2" ref="G53:M53">G50-G57</f>
        <v>2243</v>
      </c>
      <c r="H53" s="24">
        <f t="shared" si="2"/>
        <v>2444</v>
      </c>
      <c r="I53" s="11">
        <f t="shared" si="2"/>
        <v>2444</v>
      </c>
      <c r="J53" s="11">
        <f t="shared" si="2"/>
        <v>2444</v>
      </c>
      <c r="K53" s="11">
        <f t="shared" si="2"/>
        <v>2444</v>
      </c>
      <c r="L53" s="11">
        <f t="shared" si="2"/>
        <v>2444</v>
      </c>
      <c r="M53" s="11">
        <f t="shared" si="2"/>
        <v>2444</v>
      </c>
      <c r="N53" s="78">
        <f>(M53/H53)^(1/5)-1</f>
        <v>0</v>
      </c>
    </row>
    <row r="54" spans="2:14" ht="12.75">
      <c r="B54" s="18" t="s">
        <v>5</v>
      </c>
      <c r="G54" s="9">
        <f aca="true" t="shared" si="3" ref="G54:M54">G53/F53-1</f>
        <v>0.14966683751922094</v>
      </c>
      <c r="H54" s="27">
        <f t="shared" si="3"/>
        <v>0.08961212661613915</v>
      </c>
      <c r="I54" s="9">
        <f t="shared" si="3"/>
        <v>0</v>
      </c>
      <c r="J54" s="9">
        <f t="shared" si="3"/>
        <v>0</v>
      </c>
      <c r="K54" s="9">
        <f t="shared" si="3"/>
        <v>0</v>
      </c>
      <c r="L54" s="9">
        <f t="shared" si="3"/>
        <v>0</v>
      </c>
      <c r="M54" s="9">
        <f t="shared" si="3"/>
        <v>0</v>
      </c>
      <c r="N54" s="76"/>
    </row>
    <row r="55" spans="2:14" ht="12.75">
      <c r="B55" s="18" t="s">
        <v>8</v>
      </c>
      <c r="F55" s="9">
        <f aca="true" t="shared" si="4" ref="F55:M55">F53/F$50</f>
        <v>0.9028227672373901</v>
      </c>
      <c r="G55" s="9">
        <f t="shared" si="4"/>
        <v>0.9080971659919028</v>
      </c>
      <c r="H55" s="27">
        <f t="shared" si="4"/>
        <v>0.8922964585615188</v>
      </c>
      <c r="I55" s="9">
        <f t="shared" si="4"/>
        <v>0.8922964585615188</v>
      </c>
      <c r="J55" s="9">
        <f t="shared" si="4"/>
        <v>0.8922964585615188</v>
      </c>
      <c r="K55" s="9">
        <f t="shared" si="4"/>
        <v>0.8922964585615188</v>
      </c>
      <c r="L55" s="9">
        <f t="shared" si="4"/>
        <v>0.8922964585615188</v>
      </c>
      <c r="M55" s="9">
        <f t="shared" si="4"/>
        <v>0.8922964585615188</v>
      </c>
      <c r="N55" s="76"/>
    </row>
    <row r="56" spans="8:14" ht="12.75">
      <c r="H56" s="28"/>
      <c r="N56" s="76"/>
    </row>
    <row r="57" spans="2:14" ht="12.75">
      <c r="B57" s="1" t="str">
        <f>B29</f>
        <v>EBITDA</v>
      </c>
      <c r="F57" s="11">
        <f aca="true" t="shared" si="5" ref="F57:M57">F29</f>
        <v>210</v>
      </c>
      <c r="G57" s="11">
        <f t="shared" si="5"/>
        <v>227</v>
      </c>
      <c r="H57" s="24">
        <f t="shared" si="5"/>
        <v>295</v>
      </c>
      <c r="I57" s="11">
        <f t="shared" si="5"/>
        <v>295</v>
      </c>
      <c r="J57" s="11">
        <f t="shared" si="5"/>
        <v>295</v>
      </c>
      <c r="K57" s="11">
        <f t="shared" si="5"/>
        <v>295</v>
      </c>
      <c r="L57" s="11">
        <f t="shared" si="5"/>
        <v>295</v>
      </c>
      <c r="M57" s="11">
        <f t="shared" si="5"/>
        <v>295</v>
      </c>
      <c r="N57" s="78">
        <f>(M57/H57)^(1/5)-1</f>
        <v>0</v>
      </c>
    </row>
    <row r="58" spans="2:14" ht="12.75">
      <c r="B58" s="18" t="s">
        <v>5</v>
      </c>
      <c r="G58" s="9">
        <f aca="true" t="shared" si="6" ref="G58:M58">G57/F57-1</f>
        <v>0.08095238095238089</v>
      </c>
      <c r="H58" s="27">
        <f t="shared" si="6"/>
        <v>0.2995594713656389</v>
      </c>
      <c r="I58" s="9">
        <f t="shared" si="6"/>
        <v>0</v>
      </c>
      <c r="J58" s="9">
        <f t="shared" si="6"/>
        <v>0</v>
      </c>
      <c r="K58" s="9">
        <f t="shared" si="6"/>
        <v>0</v>
      </c>
      <c r="L58" s="9">
        <f t="shared" si="6"/>
        <v>0</v>
      </c>
      <c r="M58" s="9">
        <f t="shared" si="6"/>
        <v>0</v>
      </c>
      <c r="N58" s="76"/>
    </row>
    <row r="59" spans="2:14" ht="12.75">
      <c r="B59" s="18" t="s">
        <v>8</v>
      </c>
      <c r="F59" s="9">
        <f aca="true" t="shared" si="7" ref="F59:M59">F57/F$50</f>
        <v>0.09717723276260991</v>
      </c>
      <c r="G59" s="9">
        <f t="shared" si="7"/>
        <v>0.09190283400809716</v>
      </c>
      <c r="H59" s="27">
        <f t="shared" si="7"/>
        <v>0.1077035414384812</v>
      </c>
      <c r="I59" s="9">
        <f t="shared" si="7"/>
        <v>0.1077035414384812</v>
      </c>
      <c r="J59" s="9">
        <f t="shared" si="7"/>
        <v>0.1077035414384812</v>
      </c>
      <c r="K59" s="9">
        <f t="shared" si="7"/>
        <v>0.1077035414384812</v>
      </c>
      <c r="L59" s="9">
        <f t="shared" si="7"/>
        <v>0.1077035414384812</v>
      </c>
      <c r="M59" s="9">
        <f t="shared" si="7"/>
        <v>0.1077035414384812</v>
      </c>
      <c r="N59" s="76"/>
    </row>
    <row r="60" spans="2:14" ht="12.75">
      <c r="B60" s="18"/>
      <c r="C60" s="8"/>
      <c r="D60" s="8"/>
      <c r="E60" s="8"/>
      <c r="F60" s="31"/>
      <c r="G60" s="31"/>
      <c r="H60" s="27"/>
      <c r="I60" s="31"/>
      <c r="J60" s="31"/>
      <c r="K60" s="31"/>
      <c r="L60" s="31"/>
      <c r="M60" s="31"/>
      <c r="N60" s="76"/>
    </row>
    <row r="61" spans="2:14" ht="12.75">
      <c r="B61" s="10" t="str">
        <f>B42</f>
        <v>D&amp;A</v>
      </c>
      <c r="C61" s="10"/>
      <c r="D61" s="10"/>
      <c r="E61" s="10"/>
      <c r="F61" s="17">
        <f aca="true" t="shared" si="8" ref="F61:M61">F42</f>
        <v>52</v>
      </c>
      <c r="G61" s="17">
        <f t="shared" si="8"/>
        <v>61</v>
      </c>
      <c r="H61" s="26">
        <f t="shared" si="8"/>
        <v>75</v>
      </c>
      <c r="I61" s="17">
        <f t="shared" si="8"/>
        <v>75</v>
      </c>
      <c r="J61" s="17">
        <f t="shared" si="8"/>
        <v>75</v>
      </c>
      <c r="K61" s="17">
        <f t="shared" si="8"/>
        <v>75</v>
      </c>
      <c r="L61" s="17">
        <f t="shared" si="8"/>
        <v>75</v>
      </c>
      <c r="M61" s="17">
        <f t="shared" si="8"/>
        <v>75</v>
      </c>
      <c r="N61" s="79">
        <f>(M61/H61)^(1/5)-1</f>
        <v>0</v>
      </c>
    </row>
    <row r="62" spans="2:14" ht="12.75">
      <c r="B62" s="35" t="s">
        <v>17</v>
      </c>
      <c r="F62" s="11">
        <f>F57-F61</f>
        <v>158</v>
      </c>
      <c r="G62" s="11">
        <f aca="true" t="shared" si="9" ref="G62:M62">G57-G61</f>
        <v>166</v>
      </c>
      <c r="H62" s="24">
        <f t="shared" si="9"/>
        <v>220</v>
      </c>
      <c r="I62" s="11">
        <f t="shared" si="9"/>
        <v>220</v>
      </c>
      <c r="J62" s="11">
        <f t="shared" si="9"/>
        <v>220</v>
      </c>
      <c r="K62" s="11">
        <f t="shared" si="9"/>
        <v>220</v>
      </c>
      <c r="L62" s="11">
        <f t="shared" si="9"/>
        <v>220</v>
      </c>
      <c r="M62" s="11">
        <f t="shared" si="9"/>
        <v>220</v>
      </c>
      <c r="N62" s="78">
        <f>(M62/H62)^(1/5)-1</f>
        <v>0</v>
      </c>
    </row>
    <row r="63" spans="2:13" ht="12.75">
      <c r="B63" s="18" t="s">
        <v>5</v>
      </c>
      <c r="G63" s="9">
        <f aca="true" t="shared" si="10" ref="G63:M63">G62/F62-1</f>
        <v>0.05063291139240511</v>
      </c>
      <c r="H63" s="27">
        <f t="shared" si="10"/>
        <v>0.32530120481927716</v>
      </c>
      <c r="I63" s="9">
        <f t="shared" si="10"/>
        <v>0</v>
      </c>
      <c r="J63" s="9">
        <f t="shared" si="10"/>
        <v>0</v>
      </c>
      <c r="K63" s="9">
        <f t="shared" si="10"/>
        <v>0</v>
      </c>
      <c r="L63" s="9">
        <f t="shared" si="10"/>
        <v>0</v>
      </c>
      <c r="M63" s="9">
        <f t="shared" si="10"/>
        <v>0</v>
      </c>
    </row>
    <row r="64" spans="2:14" ht="13.5" thickBot="1">
      <c r="B64" s="19" t="s">
        <v>8</v>
      </c>
      <c r="C64" s="4"/>
      <c r="D64" s="4"/>
      <c r="E64" s="4"/>
      <c r="F64" s="20">
        <f aca="true" t="shared" si="11" ref="F64:M64">F62/F$50</f>
        <v>0.07311429893567793</v>
      </c>
      <c r="G64" s="20">
        <f t="shared" si="11"/>
        <v>0.06720647773279352</v>
      </c>
      <c r="H64" s="29">
        <f t="shared" si="11"/>
        <v>0.08032128514056225</v>
      </c>
      <c r="I64" s="20">
        <f t="shared" si="11"/>
        <v>0.08032128514056225</v>
      </c>
      <c r="J64" s="20">
        <f t="shared" si="11"/>
        <v>0.08032128514056225</v>
      </c>
      <c r="K64" s="20">
        <f t="shared" si="11"/>
        <v>0.08032128514056225</v>
      </c>
      <c r="L64" s="20">
        <f t="shared" si="11"/>
        <v>0.08032128514056225</v>
      </c>
      <c r="M64" s="20">
        <f t="shared" si="11"/>
        <v>0.08032128514056225</v>
      </c>
      <c r="N64" s="4"/>
    </row>
  </sheetData>
  <sheetProtection/>
  <printOptions/>
  <pageMargins left="0.5" right="0.5" top="0.5" bottom="0.5" header="0.5" footer="0.5"/>
  <pageSetup horizontalDpi="600" verticalDpi="600" orientation="landscape" scale="90" r:id="rId1"/>
  <headerFooter alignWithMargins="0">
    <oddFooter>&amp;R&amp;"Times New Roman,Regular"&amp;8Page &amp;P &amp;D /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Kellogg School of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Raino</dc:creator>
  <cp:keywords/>
  <dc:description/>
  <cp:lastModifiedBy>David Stowell</cp:lastModifiedBy>
  <cp:lastPrinted>2012-07-09T03:18:37Z</cp:lastPrinted>
  <dcterms:created xsi:type="dcterms:W3CDTF">2007-02-01T02:58:53Z</dcterms:created>
  <dcterms:modified xsi:type="dcterms:W3CDTF">2012-07-09T13:43:10Z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